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12945" yWindow="-15" windowWidth="8355" windowHeight="5700" activeTab="6"/>
  </bookViews>
  <sheets>
    <sheet name="CON" sheetId="9" r:id="rId1"/>
    <sheet name="CON-future" sheetId="31" r:id="rId2"/>
    <sheet name="Payroll" sheetId="7" r:id="rId3"/>
    <sheet name="Fin Proj" sheetId="26" r:id="rId4"/>
    <sheet name="Pos Depth" sheetId="35" r:id="rId5"/>
    <sheet name="Depth" sheetId="25" r:id="rId6"/>
    <sheet name="CTBat" sheetId="5" r:id="rId7"/>
    <sheet name="CTPit" sheetId="6" r:id="rId8"/>
    <sheet name="PSP-AAA" sheetId="34" r:id="rId9"/>
    <sheet name="NH-A" sheetId="33" r:id="rId10"/>
    <sheet name="CRG-A" sheetId="32" r:id="rId11"/>
    <sheet name="PC-S A" sheetId="30" r:id="rId12"/>
    <sheet name="CTBOld" sheetId="22" r:id="rId13"/>
    <sheet name="CTPOld" sheetId="23" r:id="rId14"/>
  </sheets>
  <definedNames>
    <definedName name="_xlnm._FilterDatabase" localSheetId="6" hidden="1">CTBat!$A$10:$CN$92</definedName>
    <definedName name="_xlnm._FilterDatabase" localSheetId="7" hidden="1">CTPit!$A$10:$BN$92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M12" i="5"/>
  <c r="CM13"/>
  <c r="CM14"/>
  <c r="CM15"/>
  <c r="CM16"/>
  <c r="CM17"/>
  <c r="CM18"/>
  <c r="CM19"/>
  <c r="CM20"/>
  <c r="CM21"/>
  <c r="CM22"/>
  <c r="CM23"/>
  <c r="CM24"/>
  <c r="CM25"/>
  <c r="CM26"/>
  <c r="CM27"/>
  <c r="CM28"/>
  <c r="CM29"/>
  <c r="CM30"/>
  <c r="CM31"/>
  <c r="CM32"/>
  <c r="CM33"/>
  <c r="CM34"/>
  <c r="CM35"/>
  <c r="CM36"/>
  <c r="CM37"/>
  <c r="CM38"/>
  <c r="CM39"/>
  <c r="CM40"/>
  <c r="CM41"/>
  <c r="CM42"/>
  <c r="CM43"/>
  <c r="CM44"/>
  <c r="CM45"/>
  <c r="CM46"/>
  <c r="CM47"/>
  <c r="CM48"/>
  <c r="CM49"/>
  <c r="CM50"/>
  <c r="CM51"/>
  <c r="CM52"/>
  <c r="CM53"/>
  <c r="CM54"/>
  <c r="CM55"/>
  <c r="CM56"/>
  <c r="CM57"/>
  <c r="CM58"/>
  <c r="CM59"/>
  <c r="CM60"/>
  <c r="CM61"/>
  <c r="CM62"/>
  <c r="CM63"/>
  <c r="CM64"/>
  <c r="CM65"/>
  <c r="CM66"/>
  <c r="CM67"/>
  <c r="CM68"/>
  <c r="CM69"/>
  <c r="CM70"/>
  <c r="CM71"/>
  <c r="CM72"/>
  <c r="CM73"/>
  <c r="CM74"/>
  <c r="CM75"/>
  <c r="CM76"/>
  <c r="CM77"/>
  <c r="CM78"/>
  <c r="CM79"/>
  <c r="CM80"/>
  <c r="CM81"/>
  <c r="CM82"/>
  <c r="CM83"/>
  <c r="CM84"/>
  <c r="CM85"/>
  <c r="CM86"/>
  <c r="CM87"/>
  <c r="CM88"/>
  <c r="CM89"/>
  <c r="CM90"/>
  <c r="CM91"/>
  <c r="CM92"/>
  <c r="CM11"/>
  <c r="CL12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L85"/>
  <c r="CL86"/>
  <c r="CL87"/>
  <c r="CL88"/>
  <c r="CL89"/>
  <c r="CL90"/>
  <c r="CL91"/>
  <c r="CL92"/>
  <c r="CL11"/>
  <c r="CM9"/>
  <c r="CL9"/>
  <c r="CJ11"/>
  <c r="CK12"/>
  <c r="CK13"/>
  <c r="CK14"/>
  <c r="CK15"/>
  <c r="CK16"/>
  <c r="CK17"/>
  <c r="CK18"/>
  <c r="CK19"/>
  <c r="CK20"/>
  <c r="CK21"/>
  <c r="CK22"/>
  <c r="CK23"/>
  <c r="CK24"/>
  <c r="CK25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5"/>
  <c r="CK46"/>
  <c r="CK47"/>
  <c r="CK48"/>
  <c r="CK49"/>
  <c r="CK50"/>
  <c r="CK51"/>
  <c r="CK52"/>
  <c r="CK53"/>
  <c r="CK54"/>
  <c r="CK55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74"/>
  <c r="CK75"/>
  <c r="CK76"/>
  <c r="CK77"/>
  <c r="CK78"/>
  <c r="CK79"/>
  <c r="CK80"/>
  <c r="CK81"/>
  <c r="CK82"/>
  <c r="CK83"/>
  <c r="CK84"/>
  <c r="CK85"/>
  <c r="CK86"/>
  <c r="CK87"/>
  <c r="CK88"/>
  <c r="CK89"/>
  <c r="CK90"/>
  <c r="CK91"/>
  <c r="CK92"/>
  <c r="CK11"/>
  <c r="CK9" s="1"/>
  <c r="CI12"/>
  <c r="CI13"/>
  <c r="CI14"/>
  <c r="CI15"/>
  <c r="CI16"/>
  <c r="CI17"/>
  <c r="CI18"/>
  <c r="CI19"/>
  <c r="CI20"/>
  <c r="CI21"/>
  <c r="CI22"/>
  <c r="CI23"/>
  <c r="CI24"/>
  <c r="CI25"/>
  <c r="CI26"/>
  <c r="CI27"/>
  <c r="CI28"/>
  <c r="CI29"/>
  <c r="CI30"/>
  <c r="CI31"/>
  <c r="CI32"/>
  <c r="CI33"/>
  <c r="CI34"/>
  <c r="CI35"/>
  <c r="CI36"/>
  <c r="CI37"/>
  <c r="CI38"/>
  <c r="CI39"/>
  <c r="CI40"/>
  <c r="CI41"/>
  <c r="CI42"/>
  <c r="CI43"/>
  <c r="CI44"/>
  <c r="CI45"/>
  <c r="CI46"/>
  <c r="CI47"/>
  <c r="CI48"/>
  <c r="CI49"/>
  <c r="CI50"/>
  <c r="CI51"/>
  <c r="CI52"/>
  <c r="CI53"/>
  <c r="CI54"/>
  <c r="CI55"/>
  <c r="CI56"/>
  <c r="CI57"/>
  <c r="CI58"/>
  <c r="CI59"/>
  <c r="CI60"/>
  <c r="CI61"/>
  <c r="CI62"/>
  <c r="CI63"/>
  <c r="CI64"/>
  <c r="CI65"/>
  <c r="CI66"/>
  <c r="CI67"/>
  <c r="CI68"/>
  <c r="CI69"/>
  <c r="CI70"/>
  <c r="CI71"/>
  <c r="CI72"/>
  <c r="CI73"/>
  <c r="CI74"/>
  <c r="CI75"/>
  <c r="CI76"/>
  <c r="CI77"/>
  <c r="CI78"/>
  <c r="CI79"/>
  <c r="CI80"/>
  <c r="CI81"/>
  <c r="CI82"/>
  <c r="CI83"/>
  <c r="CI84"/>
  <c r="CI85"/>
  <c r="CI86"/>
  <c r="CI87"/>
  <c r="CI88"/>
  <c r="CI89"/>
  <c r="CI90"/>
  <c r="CI91"/>
  <c r="CI92"/>
  <c r="CI11"/>
  <c r="CI9" s="1"/>
  <c r="CH12"/>
  <c r="CJ12"/>
  <c r="CH13"/>
  <c r="CJ13"/>
  <c r="CH14"/>
  <c r="CJ14"/>
  <c r="CH15"/>
  <c r="CJ15"/>
  <c r="CH16"/>
  <c r="CJ16"/>
  <c r="CH17"/>
  <c r="CJ17"/>
  <c r="CH18"/>
  <c r="CJ18"/>
  <c r="CH19"/>
  <c r="CJ19"/>
  <c r="CH20"/>
  <c r="CJ20"/>
  <c r="CH21"/>
  <c r="CJ21"/>
  <c r="CH22"/>
  <c r="CJ22"/>
  <c r="CH23"/>
  <c r="CJ23"/>
  <c r="CH24"/>
  <c r="CJ24"/>
  <c r="CH25"/>
  <c r="CJ25"/>
  <c r="CH26"/>
  <c r="CJ26"/>
  <c r="CH27"/>
  <c r="CJ27"/>
  <c r="CH28"/>
  <c r="CJ28"/>
  <c r="CH29"/>
  <c r="CJ29"/>
  <c r="CH30"/>
  <c r="CJ30"/>
  <c r="CH31"/>
  <c r="CJ31"/>
  <c r="CH32"/>
  <c r="CJ32"/>
  <c r="CH33"/>
  <c r="CJ33"/>
  <c r="CH34"/>
  <c r="CJ34"/>
  <c r="CH35"/>
  <c r="CJ35"/>
  <c r="CH36"/>
  <c r="CJ36"/>
  <c r="CH37"/>
  <c r="CJ37"/>
  <c r="CH38"/>
  <c r="CJ38"/>
  <c r="CH39"/>
  <c r="CJ39"/>
  <c r="CH40"/>
  <c r="CJ40"/>
  <c r="CH41"/>
  <c r="CJ41"/>
  <c r="CH42"/>
  <c r="CJ42"/>
  <c r="CH43"/>
  <c r="CJ43"/>
  <c r="CH44"/>
  <c r="CJ44"/>
  <c r="CH45"/>
  <c r="CJ45"/>
  <c r="CH46"/>
  <c r="CJ46"/>
  <c r="CH47"/>
  <c r="CJ47"/>
  <c r="CH48"/>
  <c r="CJ48"/>
  <c r="CH49"/>
  <c r="CJ49"/>
  <c r="CH50"/>
  <c r="CJ50"/>
  <c r="CH51"/>
  <c r="CJ51"/>
  <c r="CH52"/>
  <c r="CJ52"/>
  <c r="CH53"/>
  <c r="CJ53"/>
  <c r="CH54"/>
  <c r="CJ54"/>
  <c r="CH55"/>
  <c r="CJ55"/>
  <c r="CH56"/>
  <c r="CJ56"/>
  <c r="CH57"/>
  <c r="CJ57"/>
  <c r="CH58"/>
  <c r="CJ58"/>
  <c r="CH59"/>
  <c r="CJ59"/>
  <c r="CH60"/>
  <c r="CJ60"/>
  <c r="CH61"/>
  <c r="CJ61"/>
  <c r="CH62"/>
  <c r="CJ62"/>
  <c r="CH63"/>
  <c r="CJ63"/>
  <c r="CH64"/>
  <c r="CJ64"/>
  <c r="CH65"/>
  <c r="CJ65"/>
  <c r="CH66"/>
  <c r="CJ66"/>
  <c r="CH67"/>
  <c r="CJ67"/>
  <c r="CH68"/>
  <c r="CJ68"/>
  <c r="CH69"/>
  <c r="CJ69"/>
  <c r="CH70"/>
  <c r="CJ70"/>
  <c r="CH71"/>
  <c r="CJ71"/>
  <c r="CH72"/>
  <c r="CJ72"/>
  <c r="CH73"/>
  <c r="CJ73"/>
  <c r="CH74"/>
  <c r="CJ74"/>
  <c r="CH75"/>
  <c r="CJ75"/>
  <c r="CH76"/>
  <c r="CJ76"/>
  <c r="CH77"/>
  <c r="CJ77"/>
  <c r="CH78"/>
  <c r="CJ78"/>
  <c r="CH79"/>
  <c r="CJ79"/>
  <c r="CH80"/>
  <c r="CJ80"/>
  <c r="CH81"/>
  <c r="CJ81"/>
  <c r="CH82"/>
  <c r="CJ82"/>
  <c r="CH83"/>
  <c r="CJ83"/>
  <c r="CH84"/>
  <c r="CJ84"/>
  <c r="CH85"/>
  <c r="CJ85"/>
  <c r="CH86"/>
  <c r="CJ86"/>
  <c r="CH87"/>
  <c r="CJ87"/>
  <c r="CH88"/>
  <c r="CJ88"/>
  <c r="CH89"/>
  <c r="CJ89"/>
  <c r="CH90"/>
  <c r="CJ90"/>
  <c r="CH91"/>
  <c r="CJ91"/>
  <c r="CH92"/>
  <c r="CJ92"/>
  <c r="CH11"/>
  <c r="CH9" s="1"/>
  <c r="CG12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G85"/>
  <c r="CG86"/>
  <c r="CG87"/>
  <c r="CG88"/>
  <c r="CG89"/>
  <c r="CG90"/>
  <c r="CG91"/>
  <c r="CG92"/>
  <c r="CG11"/>
  <c r="CF37"/>
  <c r="CN37" s="1"/>
  <c r="CF36"/>
  <c r="CN36" s="1"/>
  <c r="CF35"/>
  <c r="CN35" s="1"/>
  <c r="CF34"/>
  <c r="CN34" s="1"/>
  <c r="CF33"/>
  <c r="CN33" s="1"/>
  <c r="CF32"/>
  <c r="CN32" s="1"/>
  <c r="CF31"/>
  <c r="CN31" s="1"/>
  <c r="CF30"/>
  <c r="CN30" s="1"/>
  <c r="CF29"/>
  <c r="CN29" s="1"/>
  <c r="CF28"/>
  <c r="CN28" s="1"/>
  <c r="CF27"/>
  <c r="CN27" s="1"/>
  <c r="CF26"/>
  <c r="CN26" s="1"/>
  <c r="CF25"/>
  <c r="CN25" s="1"/>
  <c r="CF24"/>
  <c r="CN24" s="1"/>
  <c r="CF23"/>
  <c r="CN23" s="1"/>
  <c r="CF22"/>
  <c r="CN22" s="1"/>
  <c r="CF21"/>
  <c r="CN21" s="1"/>
  <c r="CF20"/>
  <c r="CN20" s="1"/>
  <c r="CF19"/>
  <c r="CN19" s="1"/>
  <c r="CF18"/>
  <c r="CN18" s="1"/>
  <c r="CF17"/>
  <c r="CN17" s="1"/>
  <c r="CF16"/>
  <c r="CN16" s="1"/>
  <c r="CF15"/>
  <c r="CN15" s="1"/>
  <c r="CF14"/>
  <c r="CN14" s="1"/>
  <c r="CF13"/>
  <c r="CN13" s="1"/>
  <c r="CF12"/>
  <c r="CN12" s="1"/>
  <c r="CF11"/>
  <c r="CN11" s="1"/>
  <c r="CF39"/>
  <c r="CN39" s="1"/>
  <c r="CF40"/>
  <c r="CN40" s="1"/>
  <c r="CF41"/>
  <c r="CN41" s="1"/>
  <c r="CF42"/>
  <c r="CN42" s="1"/>
  <c r="CF43"/>
  <c r="CN43" s="1"/>
  <c r="CF44"/>
  <c r="CN44" s="1"/>
  <c r="CF45"/>
  <c r="CN45" s="1"/>
  <c r="CF46"/>
  <c r="CN46" s="1"/>
  <c r="CF47"/>
  <c r="CN47" s="1"/>
  <c r="CF48"/>
  <c r="CN48" s="1"/>
  <c r="CF49"/>
  <c r="CN49" s="1"/>
  <c r="CF50"/>
  <c r="CN50" s="1"/>
  <c r="CF51"/>
  <c r="CN51" s="1"/>
  <c r="CF52"/>
  <c r="CN52" s="1"/>
  <c r="CF53"/>
  <c r="CN53" s="1"/>
  <c r="CF54"/>
  <c r="CN54" s="1"/>
  <c r="CF55"/>
  <c r="CN55" s="1"/>
  <c r="CF56"/>
  <c r="CN56" s="1"/>
  <c r="CF57"/>
  <c r="CN57" s="1"/>
  <c r="CF58"/>
  <c r="CN58" s="1"/>
  <c r="CF59"/>
  <c r="CN59" s="1"/>
  <c r="CF60"/>
  <c r="CN60" s="1"/>
  <c r="CF61"/>
  <c r="CN61" s="1"/>
  <c r="CF62"/>
  <c r="CN62" s="1"/>
  <c r="CF63"/>
  <c r="CN63" s="1"/>
  <c r="CF64"/>
  <c r="CN64" s="1"/>
  <c r="CF65"/>
  <c r="CN65" s="1"/>
  <c r="CF66"/>
  <c r="CN66" s="1"/>
  <c r="CF67"/>
  <c r="CN67" s="1"/>
  <c r="CF68"/>
  <c r="CN68" s="1"/>
  <c r="CF69"/>
  <c r="CN69" s="1"/>
  <c r="CF70"/>
  <c r="CN70" s="1"/>
  <c r="CF71"/>
  <c r="CN71" s="1"/>
  <c r="CF72"/>
  <c r="CN72" s="1"/>
  <c r="CF73"/>
  <c r="CN73" s="1"/>
  <c r="CF74"/>
  <c r="CN74" s="1"/>
  <c r="CF75"/>
  <c r="CN75" s="1"/>
  <c r="CF76"/>
  <c r="CN76" s="1"/>
  <c r="CF77"/>
  <c r="CN77" s="1"/>
  <c r="CF78"/>
  <c r="CN78" s="1"/>
  <c r="CF79"/>
  <c r="CN79" s="1"/>
  <c r="CF80"/>
  <c r="CN80" s="1"/>
  <c r="CF81"/>
  <c r="CN81" s="1"/>
  <c r="CF82"/>
  <c r="CN82" s="1"/>
  <c r="CF83"/>
  <c r="CN83" s="1"/>
  <c r="CF84"/>
  <c r="CN84" s="1"/>
  <c r="CF85"/>
  <c r="CN85" s="1"/>
  <c r="CF86"/>
  <c r="CN86" s="1"/>
  <c r="CF87"/>
  <c r="CN87" s="1"/>
  <c r="CF88"/>
  <c r="CN88" s="1"/>
  <c r="CF89"/>
  <c r="CN89" s="1"/>
  <c r="CF90"/>
  <c r="CN90" s="1"/>
  <c r="CF91"/>
  <c r="CN91" s="1"/>
  <c r="CF92"/>
  <c r="CN92" s="1"/>
  <c r="CF38"/>
  <c r="CN38" s="1"/>
  <c r="AG72" i="34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AF68"/>
  <c r="AE68"/>
  <c r="AD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I68"/>
  <c r="E68"/>
  <c r="D68"/>
  <c r="AF67"/>
  <c r="AE67"/>
  <c r="AD67"/>
  <c r="AB67"/>
  <c r="AA67"/>
  <c r="Z67"/>
  <c r="N67"/>
  <c r="M67"/>
  <c r="L67"/>
  <c r="K67"/>
  <c r="I67"/>
  <c r="E67"/>
  <c r="D67"/>
  <c r="AF66"/>
  <c r="AE66"/>
  <c r="AD66"/>
  <c r="AB66"/>
  <c r="AA66"/>
  <c r="Z66"/>
  <c r="N66"/>
  <c r="M66"/>
  <c r="L66"/>
  <c r="K66"/>
  <c r="I66"/>
  <c r="E66"/>
  <c r="D66"/>
  <c r="AF65"/>
  <c r="AE65"/>
  <c r="AD65"/>
  <c r="AB65"/>
  <c r="AA65"/>
  <c r="Z65"/>
  <c r="N65"/>
  <c r="M65"/>
  <c r="L65"/>
  <c r="K65"/>
  <c r="I65"/>
  <c r="E65"/>
  <c r="D65"/>
  <c r="AF64"/>
  <c r="AE64"/>
  <c r="AD64"/>
  <c r="AB64"/>
  <c r="AA64"/>
  <c r="Z64"/>
  <c r="N64"/>
  <c r="M64"/>
  <c r="L64"/>
  <c r="K64"/>
  <c r="I64"/>
  <c r="E64"/>
  <c r="D64"/>
  <c r="AF63"/>
  <c r="AE63"/>
  <c r="AD63"/>
  <c r="AB63"/>
  <c r="AA63"/>
  <c r="Z63"/>
  <c r="N63"/>
  <c r="M63"/>
  <c r="L63"/>
  <c r="K63"/>
  <c r="I63"/>
  <c r="E63"/>
  <c r="D63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F59"/>
  <c r="AE59"/>
  <c r="AD59"/>
  <c r="AB59"/>
  <c r="AA59"/>
  <c r="Z59"/>
  <c r="N59"/>
  <c r="M59"/>
  <c r="L59"/>
  <c r="K59"/>
  <c r="I59"/>
  <c r="E59"/>
  <c r="D59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F55"/>
  <c r="AE55"/>
  <c r="AD55"/>
  <c r="AB55"/>
  <c r="AA55"/>
  <c r="Z55"/>
  <c r="N55"/>
  <c r="M55"/>
  <c r="L55"/>
  <c r="K55"/>
  <c r="I55"/>
  <c r="E55"/>
  <c r="D55"/>
  <c r="AF54"/>
  <c r="AE54"/>
  <c r="AD54"/>
  <c r="AB54"/>
  <c r="AA54"/>
  <c r="Z54"/>
  <c r="N54"/>
  <c r="M54"/>
  <c r="L54"/>
  <c r="K54"/>
  <c r="I54"/>
  <c r="E54"/>
  <c r="D54"/>
  <c r="AF53"/>
  <c r="AE53"/>
  <c r="AD53"/>
  <c r="AB53"/>
  <c r="AA53"/>
  <c r="Z53"/>
  <c r="N53"/>
  <c r="M53"/>
  <c r="L53"/>
  <c r="K53"/>
  <c r="I53"/>
  <c r="E53"/>
  <c r="D53"/>
  <c r="AF52"/>
  <c r="AE52"/>
  <c r="AD52"/>
  <c r="AB52"/>
  <c r="AA52"/>
  <c r="Z52"/>
  <c r="N52"/>
  <c r="M52"/>
  <c r="L52"/>
  <c r="K52"/>
  <c r="I52"/>
  <c r="E52"/>
  <c r="D52"/>
  <c r="AF51"/>
  <c r="AE51"/>
  <c r="AD51"/>
  <c r="AB51"/>
  <c r="AA51"/>
  <c r="Z51"/>
  <c r="N51"/>
  <c r="M51"/>
  <c r="L51"/>
  <c r="K51"/>
  <c r="I51"/>
  <c r="E51"/>
  <c r="D51"/>
  <c r="P49"/>
  <c r="P67" s="1"/>
  <c r="O49"/>
  <c r="O67" s="1"/>
  <c r="C47"/>
  <c r="C46"/>
  <c r="R44"/>
  <c r="X38" s="1"/>
  <c r="Q44"/>
  <c r="P44"/>
  <c r="O44"/>
  <c r="N44"/>
  <c r="M44"/>
  <c r="L44"/>
  <c r="K44"/>
  <c r="J44"/>
  <c r="H44"/>
  <c r="G44"/>
  <c r="F44"/>
  <c r="E44"/>
  <c r="R43"/>
  <c r="Q43"/>
  <c r="W39" s="1"/>
  <c r="P43"/>
  <c r="O43"/>
  <c r="N43"/>
  <c r="M43"/>
  <c r="L43"/>
  <c r="K43"/>
  <c r="J43"/>
  <c r="H43"/>
  <c r="G43"/>
  <c r="F43"/>
  <c r="E43"/>
  <c r="R42"/>
  <c r="X41" s="1"/>
  <c r="Q42"/>
  <c r="W41" s="1"/>
  <c r="P42"/>
  <c r="O42"/>
  <c r="N42"/>
  <c r="M42"/>
  <c r="L42"/>
  <c r="K42"/>
  <c r="J42"/>
  <c r="H42"/>
  <c r="G42"/>
  <c r="F42"/>
  <c r="E42"/>
  <c r="R41"/>
  <c r="X43" s="1"/>
  <c r="Q41"/>
  <c r="W43" s="1"/>
  <c r="P41"/>
  <c r="O41"/>
  <c r="N41"/>
  <c r="M41"/>
  <c r="L41"/>
  <c r="K41"/>
  <c r="J41"/>
  <c r="H41"/>
  <c r="G41"/>
  <c r="F41"/>
  <c r="E41"/>
  <c r="R40"/>
  <c r="X36" s="1"/>
  <c r="Q40"/>
  <c r="W36" s="1"/>
  <c r="P40"/>
  <c r="O40"/>
  <c r="N40"/>
  <c r="M40"/>
  <c r="L40"/>
  <c r="K40"/>
  <c r="J40"/>
  <c r="H40"/>
  <c r="G40"/>
  <c r="F40"/>
  <c r="E40"/>
  <c r="X39"/>
  <c r="R39"/>
  <c r="X37" s="1"/>
  <c r="Q39"/>
  <c r="W37" s="1"/>
  <c r="P39"/>
  <c r="O39"/>
  <c r="N39"/>
  <c r="M39"/>
  <c r="L39"/>
  <c r="K39"/>
  <c r="J39"/>
  <c r="H39"/>
  <c r="G39"/>
  <c r="F39"/>
  <c r="E39"/>
  <c r="W38"/>
  <c r="R38"/>
  <c r="X40" s="1"/>
  <c r="Q38"/>
  <c r="W40" s="1"/>
  <c r="P38"/>
  <c r="O38"/>
  <c r="N38"/>
  <c r="M38"/>
  <c r="L38"/>
  <c r="K38"/>
  <c r="J38"/>
  <c r="H38"/>
  <c r="G38"/>
  <c r="F38"/>
  <c r="E38"/>
  <c r="R37"/>
  <c r="Q37"/>
  <c r="P37"/>
  <c r="O37"/>
  <c r="N37"/>
  <c r="M37"/>
  <c r="L37"/>
  <c r="K37"/>
  <c r="J37"/>
  <c r="H37"/>
  <c r="G37"/>
  <c r="F37"/>
  <c r="E37"/>
  <c r="R36"/>
  <c r="X42" s="1"/>
  <c r="Q36"/>
  <c r="W42" s="1"/>
  <c r="P36"/>
  <c r="O36"/>
  <c r="N36"/>
  <c r="M36"/>
  <c r="L36"/>
  <c r="K36"/>
  <c r="J36"/>
  <c r="H36"/>
  <c r="G36"/>
  <c r="F36"/>
  <c r="E36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Y31"/>
  <c r="AX31"/>
  <c r="AW31"/>
  <c r="AV31"/>
  <c r="AU31"/>
  <c r="AJ31"/>
  <c r="AI31"/>
  <c r="AH31"/>
  <c r="AG31"/>
  <c r="AF31"/>
  <c r="AE31"/>
  <c r="AD31"/>
  <c r="V31" s="1"/>
  <c r="T31"/>
  <c r="S31"/>
  <c r="R31"/>
  <c r="Q31"/>
  <c r="P31"/>
  <c r="O31"/>
  <c r="N31"/>
  <c r="M31"/>
  <c r="L31"/>
  <c r="K31"/>
  <c r="J31"/>
  <c r="I31"/>
  <c r="H31"/>
  <c r="G31"/>
  <c r="F31"/>
  <c r="E31"/>
  <c r="D31"/>
  <c r="AY30"/>
  <c r="AX30"/>
  <c r="AW30"/>
  <c r="AV30"/>
  <c r="AU30"/>
  <c r="AJ30"/>
  <c r="AI30"/>
  <c r="AH30"/>
  <c r="AG30"/>
  <c r="AF30"/>
  <c r="AE30"/>
  <c r="AD30"/>
  <c r="T30"/>
  <c r="S30"/>
  <c r="R30"/>
  <c r="Q30"/>
  <c r="P30"/>
  <c r="O30"/>
  <c r="N30"/>
  <c r="M30"/>
  <c r="L30"/>
  <c r="K30"/>
  <c r="J30"/>
  <c r="I30"/>
  <c r="H30"/>
  <c r="G30"/>
  <c r="F30"/>
  <c r="E30"/>
  <c r="D30"/>
  <c r="C29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Y24"/>
  <c r="AX24"/>
  <c r="AW24"/>
  <c r="AV24"/>
  <c r="AU24"/>
  <c r="AJ24"/>
  <c r="AI24"/>
  <c r="AH24"/>
  <c r="AG24"/>
  <c r="AF24"/>
  <c r="AE24"/>
  <c r="AD24"/>
  <c r="T24"/>
  <c r="S24"/>
  <c r="R24"/>
  <c r="Q24"/>
  <c r="P24"/>
  <c r="O24"/>
  <c r="N24"/>
  <c r="M24"/>
  <c r="L24"/>
  <c r="K24"/>
  <c r="H24" s="1"/>
  <c r="J24"/>
  <c r="I24"/>
  <c r="G24"/>
  <c r="F24"/>
  <c r="E24"/>
  <c r="D24"/>
  <c r="AY23"/>
  <c r="AX23"/>
  <c r="AW23"/>
  <c r="AV23"/>
  <c r="AU23"/>
  <c r="AJ23"/>
  <c r="AI23"/>
  <c r="AH23"/>
  <c r="AG23"/>
  <c r="AF23"/>
  <c r="AE23"/>
  <c r="AD23"/>
  <c r="V23" s="1"/>
  <c r="T23"/>
  <c r="S23"/>
  <c r="R23"/>
  <c r="Q23"/>
  <c r="G23" s="1"/>
  <c r="P23"/>
  <c r="O23"/>
  <c r="N23"/>
  <c r="M23"/>
  <c r="L23"/>
  <c r="K23"/>
  <c r="H23" s="1"/>
  <c r="J23"/>
  <c r="I23"/>
  <c r="E23"/>
  <c r="D23"/>
  <c r="AY22"/>
  <c r="AX22"/>
  <c r="AW22"/>
  <c r="AV22"/>
  <c r="AU22"/>
  <c r="AJ22"/>
  <c r="AI22"/>
  <c r="AH22"/>
  <c r="AG22"/>
  <c r="AF22"/>
  <c r="AE22"/>
  <c r="AD22"/>
  <c r="T22"/>
  <c r="S22"/>
  <c r="R22"/>
  <c r="Q22"/>
  <c r="G22" s="1"/>
  <c r="P22"/>
  <c r="O22"/>
  <c r="N22"/>
  <c r="M22"/>
  <c r="L22"/>
  <c r="K22"/>
  <c r="J22"/>
  <c r="I22"/>
  <c r="E22"/>
  <c r="D22"/>
  <c r="AY21"/>
  <c r="AX21"/>
  <c r="AW21"/>
  <c r="AV21"/>
  <c r="AU21"/>
  <c r="AJ21"/>
  <c r="AI21"/>
  <c r="AH21"/>
  <c r="AG21"/>
  <c r="AF21"/>
  <c r="AE21"/>
  <c r="AD21"/>
  <c r="T21"/>
  <c r="S21"/>
  <c r="R21"/>
  <c r="Q21"/>
  <c r="G21" s="1"/>
  <c r="P21"/>
  <c r="O21"/>
  <c r="N21"/>
  <c r="M21"/>
  <c r="L21"/>
  <c r="K21"/>
  <c r="J21"/>
  <c r="I21"/>
  <c r="E21"/>
  <c r="D21"/>
  <c r="AY20"/>
  <c r="AX20"/>
  <c r="AW20"/>
  <c r="AV20"/>
  <c r="AU20"/>
  <c r="AJ20"/>
  <c r="AI20"/>
  <c r="AH20"/>
  <c r="AG20"/>
  <c r="AF20"/>
  <c r="AE20"/>
  <c r="AD20"/>
  <c r="T20"/>
  <c r="S20"/>
  <c r="R20"/>
  <c r="Q20"/>
  <c r="P20"/>
  <c r="O20"/>
  <c r="N20"/>
  <c r="M20"/>
  <c r="L20"/>
  <c r="K20"/>
  <c r="J20"/>
  <c r="I20"/>
  <c r="G20"/>
  <c r="E20"/>
  <c r="D20"/>
  <c r="C19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AY12"/>
  <c r="AX12"/>
  <c r="AW12"/>
  <c r="AP12" s="1"/>
  <c r="AV12"/>
  <c r="AU12"/>
  <c r="AS12" s="1"/>
  <c r="AJ12"/>
  <c r="AI12"/>
  <c r="AH12"/>
  <c r="AG12"/>
  <c r="AK12" s="1"/>
  <c r="AF12"/>
  <c r="AE12"/>
  <c r="AB12" s="1"/>
  <c r="AD12"/>
  <c r="AA12"/>
  <c r="Y12"/>
  <c r="W12"/>
  <c r="U12"/>
  <c r="T12"/>
  <c r="S12"/>
  <c r="R12"/>
  <c r="Q12"/>
  <c r="P12"/>
  <c r="O12"/>
  <c r="N12"/>
  <c r="M12"/>
  <c r="F12" s="1"/>
  <c r="L12"/>
  <c r="K12"/>
  <c r="J12"/>
  <c r="I12"/>
  <c r="H12"/>
  <c r="G12"/>
  <c r="E12"/>
  <c r="D12"/>
  <c r="AY11"/>
  <c r="AX11"/>
  <c r="AW11"/>
  <c r="AV11"/>
  <c r="AU11"/>
  <c r="AJ11"/>
  <c r="AI11"/>
  <c r="AH11"/>
  <c r="AG11"/>
  <c r="AF11"/>
  <c r="AE11"/>
  <c r="AD11"/>
  <c r="T11"/>
  <c r="S11"/>
  <c r="R11"/>
  <c r="Q11"/>
  <c r="P11"/>
  <c r="O11"/>
  <c r="N11"/>
  <c r="M11"/>
  <c r="L11"/>
  <c r="K11"/>
  <c r="J11"/>
  <c r="I11"/>
  <c r="H11"/>
  <c r="E11"/>
  <c r="D11"/>
  <c r="AY10"/>
  <c r="AX10"/>
  <c r="AW10"/>
  <c r="AV10"/>
  <c r="AU10"/>
  <c r="AM10" s="1"/>
  <c r="AJ10"/>
  <c r="AI10"/>
  <c r="AH10"/>
  <c r="AG10"/>
  <c r="AF10"/>
  <c r="AE10"/>
  <c r="AD10"/>
  <c r="T10"/>
  <c r="S10"/>
  <c r="R10"/>
  <c r="Q10"/>
  <c r="P10"/>
  <c r="O10"/>
  <c r="N10"/>
  <c r="M10"/>
  <c r="L10"/>
  <c r="K10"/>
  <c r="J10"/>
  <c r="I10"/>
  <c r="H10"/>
  <c r="E10"/>
  <c r="D10"/>
  <c r="AY9"/>
  <c r="AX9"/>
  <c r="AW9"/>
  <c r="AV9"/>
  <c r="AU9"/>
  <c r="AJ9"/>
  <c r="AI9"/>
  <c r="AH9"/>
  <c r="AG9"/>
  <c r="AF9"/>
  <c r="AE9"/>
  <c r="AD9"/>
  <c r="V9" s="1"/>
  <c r="T9"/>
  <c r="S9"/>
  <c r="R9"/>
  <c r="Q9"/>
  <c r="P9"/>
  <c r="O9"/>
  <c r="N9"/>
  <c r="M9"/>
  <c r="L9"/>
  <c r="K9"/>
  <c r="J9"/>
  <c r="I9"/>
  <c r="H9"/>
  <c r="E9"/>
  <c r="D9"/>
  <c r="AY8"/>
  <c r="AX8"/>
  <c r="AW8"/>
  <c r="AV8"/>
  <c r="AU8"/>
  <c r="AJ8"/>
  <c r="AI8"/>
  <c r="AH8"/>
  <c r="AG8"/>
  <c r="AF8"/>
  <c r="AE8"/>
  <c r="AD8"/>
  <c r="U8"/>
  <c r="T8"/>
  <c r="S8"/>
  <c r="R8"/>
  <c r="Q8"/>
  <c r="P8"/>
  <c r="O8"/>
  <c r="N8"/>
  <c r="M8"/>
  <c r="F8" s="1"/>
  <c r="L8"/>
  <c r="K8"/>
  <c r="J8"/>
  <c r="I8"/>
  <c r="H8"/>
  <c r="G8"/>
  <c r="E8"/>
  <c r="D8"/>
  <c r="AY7"/>
  <c r="AX7"/>
  <c r="AW7"/>
  <c r="AV7"/>
  <c r="AU7"/>
  <c r="AJ7"/>
  <c r="AI7"/>
  <c r="AH7"/>
  <c r="AG7"/>
  <c r="AF7"/>
  <c r="AE7"/>
  <c r="AD7"/>
  <c r="AB7" s="1"/>
  <c r="T7"/>
  <c r="S7"/>
  <c r="R7"/>
  <c r="Q7"/>
  <c r="P7"/>
  <c r="O7"/>
  <c r="N7"/>
  <c r="M7"/>
  <c r="L7"/>
  <c r="K7"/>
  <c r="J7"/>
  <c r="I7"/>
  <c r="H7"/>
  <c r="E7"/>
  <c r="D7"/>
  <c r="AY6"/>
  <c r="AX6"/>
  <c r="AW6"/>
  <c r="AV6"/>
  <c r="AU6"/>
  <c r="AZ6" s="1"/>
  <c r="AJ6"/>
  <c r="AI6"/>
  <c r="AH6"/>
  <c r="AG6"/>
  <c r="AF6"/>
  <c r="AE6"/>
  <c r="AD6"/>
  <c r="W6"/>
  <c r="T6"/>
  <c r="S6"/>
  <c r="R6"/>
  <c r="Q6"/>
  <c r="P6"/>
  <c r="O6"/>
  <c r="N6"/>
  <c r="M6"/>
  <c r="L6"/>
  <c r="K6"/>
  <c r="J6"/>
  <c r="I6"/>
  <c r="H6"/>
  <c r="G6"/>
  <c r="E6"/>
  <c r="D6"/>
  <c r="C5"/>
  <c r="AG72" i="33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AF68"/>
  <c r="AE68"/>
  <c r="AD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E68"/>
  <c r="D68"/>
  <c r="AF67"/>
  <c r="AE67"/>
  <c r="AD67"/>
  <c r="AB67"/>
  <c r="AA67"/>
  <c r="Z67"/>
  <c r="N67"/>
  <c r="M67"/>
  <c r="L67"/>
  <c r="K67"/>
  <c r="I67"/>
  <c r="E67"/>
  <c r="D67"/>
  <c r="AF66"/>
  <c r="AE66"/>
  <c r="AD66"/>
  <c r="AB66"/>
  <c r="AA66"/>
  <c r="Z66"/>
  <c r="N66"/>
  <c r="M66"/>
  <c r="L66"/>
  <c r="K66"/>
  <c r="I66"/>
  <c r="E66"/>
  <c r="D66"/>
  <c r="AF65"/>
  <c r="AE65"/>
  <c r="AD65"/>
  <c r="AB65"/>
  <c r="AA65"/>
  <c r="Z65"/>
  <c r="N65"/>
  <c r="M65"/>
  <c r="L65"/>
  <c r="K65"/>
  <c r="I65"/>
  <c r="E65"/>
  <c r="D65"/>
  <c r="AF64"/>
  <c r="AE64"/>
  <c r="AD64"/>
  <c r="AB64"/>
  <c r="AA64"/>
  <c r="Z64"/>
  <c r="N64"/>
  <c r="M64"/>
  <c r="L64"/>
  <c r="K64"/>
  <c r="I64"/>
  <c r="E64"/>
  <c r="D64"/>
  <c r="AF63"/>
  <c r="AE63"/>
  <c r="AD63"/>
  <c r="AB63"/>
  <c r="AA63"/>
  <c r="Z63"/>
  <c r="N63"/>
  <c r="M63"/>
  <c r="L63"/>
  <c r="K63"/>
  <c r="I63"/>
  <c r="E63"/>
  <c r="D63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F59"/>
  <c r="AE59"/>
  <c r="AD59"/>
  <c r="AB59"/>
  <c r="AA59"/>
  <c r="Z59"/>
  <c r="N59"/>
  <c r="M59"/>
  <c r="L59"/>
  <c r="K59"/>
  <c r="I59"/>
  <c r="E59"/>
  <c r="D59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AF55"/>
  <c r="AE55"/>
  <c r="AD55"/>
  <c r="AB55"/>
  <c r="AA55"/>
  <c r="Z55"/>
  <c r="N55"/>
  <c r="M55"/>
  <c r="L55"/>
  <c r="K55"/>
  <c r="I55"/>
  <c r="E55"/>
  <c r="D55"/>
  <c r="AF54"/>
  <c r="AE54"/>
  <c r="AD54"/>
  <c r="AB54"/>
  <c r="AA54"/>
  <c r="Z54"/>
  <c r="N54"/>
  <c r="M54"/>
  <c r="L54"/>
  <c r="K54"/>
  <c r="I54"/>
  <c r="E54"/>
  <c r="D54"/>
  <c r="AF53"/>
  <c r="AE53"/>
  <c r="AD53"/>
  <c r="AB53"/>
  <c r="AA53"/>
  <c r="Z53"/>
  <c r="N53"/>
  <c r="M53"/>
  <c r="L53"/>
  <c r="K53"/>
  <c r="I53"/>
  <c r="E53"/>
  <c r="D53"/>
  <c r="AF52"/>
  <c r="AE52"/>
  <c r="AD52"/>
  <c r="AB52"/>
  <c r="AA52"/>
  <c r="Z52"/>
  <c r="N52"/>
  <c r="M52"/>
  <c r="L52"/>
  <c r="K52"/>
  <c r="I52"/>
  <c r="E52"/>
  <c r="D52"/>
  <c r="AF51"/>
  <c r="AE51"/>
  <c r="AD51"/>
  <c r="AB51"/>
  <c r="AA51"/>
  <c r="Z51"/>
  <c r="N51"/>
  <c r="M51"/>
  <c r="L51"/>
  <c r="K51"/>
  <c r="I51"/>
  <c r="E51"/>
  <c r="D51"/>
  <c r="O49"/>
  <c r="P49" s="1"/>
  <c r="C47"/>
  <c r="C46"/>
  <c r="R44"/>
  <c r="Q44"/>
  <c r="W38" s="1"/>
  <c r="P44"/>
  <c r="O44"/>
  <c r="N44"/>
  <c r="M44"/>
  <c r="L44"/>
  <c r="K44"/>
  <c r="J44"/>
  <c r="H44"/>
  <c r="G44"/>
  <c r="F44"/>
  <c r="E44"/>
  <c r="R43"/>
  <c r="X39" s="1"/>
  <c r="Q43"/>
  <c r="P43"/>
  <c r="O43"/>
  <c r="N43"/>
  <c r="M43"/>
  <c r="L43"/>
  <c r="K43"/>
  <c r="J43"/>
  <c r="H43"/>
  <c r="G43"/>
  <c r="F43"/>
  <c r="E43"/>
  <c r="R42"/>
  <c r="X41" s="1"/>
  <c r="Q42"/>
  <c r="P42"/>
  <c r="O42"/>
  <c r="N42"/>
  <c r="M42"/>
  <c r="L42"/>
  <c r="K42"/>
  <c r="J42"/>
  <c r="H42"/>
  <c r="G42"/>
  <c r="F42"/>
  <c r="E42"/>
  <c r="W41"/>
  <c r="R41"/>
  <c r="X43" s="1"/>
  <c r="Q41"/>
  <c r="W43" s="1"/>
  <c r="P41"/>
  <c r="O41"/>
  <c r="N41"/>
  <c r="M41"/>
  <c r="L41"/>
  <c r="K41"/>
  <c r="J41"/>
  <c r="H41"/>
  <c r="G41"/>
  <c r="F41"/>
  <c r="E41"/>
  <c r="R40"/>
  <c r="Q40"/>
  <c r="P40"/>
  <c r="O40"/>
  <c r="N40"/>
  <c r="M40"/>
  <c r="L40"/>
  <c r="K40"/>
  <c r="J40"/>
  <c r="H40"/>
  <c r="G40"/>
  <c r="F40"/>
  <c r="E40"/>
  <c r="W39"/>
  <c r="R39"/>
  <c r="X37" s="1"/>
  <c r="Q39"/>
  <c r="P39"/>
  <c r="O39"/>
  <c r="N39"/>
  <c r="M39"/>
  <c r="L39"/>
  <c r="K39"/>
  <c r="J39"/>
  <c r="H39"/>
  <c r="G39"/>
  <c r="F39"/>
  <c r="E39"/>
  <c r="X38"/>
  <c r="R38"/>
  <c r="X40" s="1"/>
  <c r="Q38"/>
  <c r="W40" s="1"/>
  <c r="P38"/>
  <c r="O38"/>
  <c r="N38"/>
  <c r="M38"/>
  <c r="L38"/>
  <c r="K38"/>
  <c r="J38"/>
  <c r="H38"/>
  <c r="G38"/>
  <c r="F38"/>
  <c r="E38"/>
  <c r="W37"/>
  <c r="R37"/>
  <c r="Q37"/>
  <c r="P37"/>
  <c r="O37"/>
  <c r="N37"/>
  <c r="M37"/>
  <c r="L37"/>
  <c r="K37"/>
  <c r="J37"/>
  <c r="H37"/>
  <c r="G37"/>
  <c r="F37"/>
  <c r="E37"/>
  <c r="X36"/>
  <c r="W36"/>
  <c r="R36"/>
  <c r="X42" s="1"/>
  <c r="Q36"/>
  <c r="W42" s="1"/>
  <c r="P36"/>
  <c r="O36"/>
  <c r="N36"/>
  <c r="M36"/>
  <c r="L36"/>
  <c r="K36"/>
  <c r="J36"/>
  <c r="H36"/>
  <c r="G36"/>
  <c r="F36"/>
  <c r="E36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AY31"/>
  <c r="AX31"/>
  <c r="AW31"/>
  <c r="AV31"/>
  <c r="AU31"/>
  <c r="AJ31"/>
  <c r="AI31"/>
  <c r="AH31"/>
  <c r="AG31"/>
  <c r="AF31"/>
  <c r="AE31"/>
  <c r="AD31"/>
  <c r="AA31" s="1"/>
  <c r="W31"/>
  <c r="T31"/>
  <c r="S31"/>
  <c r="R31"/>
  <c r="Q31"/>
  <c r="P31"/>
  <c r="O31"/>
  <c r="N31"/>
  <c r="M31"/>
  <c r="L31"/>
  <c r="K31"/>
  <c r="J31"/>
  <c r="I31"/>
  <c r="H31"/>
  <c r="G31"/>
  <c r="F31"/>
  <c r="E31"/>
  <c r="D31"/>
  <c r="AY30"/>
  <c r="AX30"/>
  <c r="AW30"/>
  <c r="AV30"/>
  <c r="AU30"/>
  <c r="AN30" s="1"/>
  <c r="AJ30"/>
  <c r="AI30"/>
  <c r="AH30"/>
  <c r="AG30"/>
  <c r="AF30"/>
  <c r="AE30"/>
  <c r="AD30"/>
  <c r="AB30" s="1"/>
  <c r="T30"/>
  <c r="S30"/>
  <c r="R30"/>
  <c r="Q30"/>
  <c r="P30"/>
  <c r="O30"/>
  <c r="N30"/>
  <c r="M30"/>
  <c r="L30"/>
  <c r="K30"/>
  <c r="J30"/>
  <c r="I30"/>
  <c r="H30"/>
  <c r="G30"/>
  <c r="F30"/>
  <c r="E30"/>
  <c r="D30"/>
  <c r="C29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AY23"/>
  <c r="AX23"/>
  <c r="AW23"/>
  <c r="AV23"/>
  <c r="AU23"/>
  <c r="AJ23"/>
  <c r="AI23"/>
  <c r="AH23"/>
  <c r="AG23"/>
  <c r="AF23"/>
  <c r="AE23"/>
  <c r="AD23"/>
  <c r="T23"/>
  <c r="S23"/>
  <c r="R23"/>
  <c r="Q23"/>
  <c r="P23"/>
  <c r="O23"/>
  <c r="N23"/>
  <c r="M23"/>
  <c r="L23"/>
  <c r="K23"/>
  <c r="J23"/>
  <c r="I23"/>
  <c r="G23"/>
  <c r="E23"/>
  <c r="D23"/>
  <c r="AY22"/>
  <c r="AX22"/>
  <c r="AW22"/>
  <c r="AV22"/>
  <c r="AU22"/>
  <c r="AJ22"/>
  <c r="AI22"/>
  <c r="AH22"/>
  <c r="AG22"/>
  <c r="AF22"/>
  <c r="AE22"/>
  <c r="AD22"/>
  <c r="T22"/>
  <c r="S22"/>
  <c r="R22"/>
  <c r="Q22"/>
  <c r="G22" s="1"/>
  <c r="P22"/>
  <c r="O22"/>
  <c r="N22"/>
  <c r="M22"/>
  <c r="L22"/>
  <c r="K22"/>
  <c r="H22" s="1"/>
  <c r="J22"/>
  <c r="I22"/>
  <c r="F22"/>
  <c r="E22"/>
  <c r="D22"/>
  <c r="AY21"/>
  <c r="AX21"/>
  <c r="AW21"/>
  <c r="AV21"/>
  <c r="AU21"/>
  <c r="AJ21"/>
  <c r="AI21"/>
  <c r="AH21"/>
  <c r="AG21"/>
  <c r="AF21"/>
  <c r="AE21"/>
  <c r="AD21"/>
  <c r="T21"/>
  <c r="S21"/>
  <c r="R21"/>
  <c r="Q21"/>
  <c r="G21" s="1"/>
  <c r="P21"/>
  <c r="O21"/>
  <c r="N21"/>
  <c r="M21"/>
  <c r="L21"/>
  <c r="K21"/>
  <c r="J21"/>
  <c r="I21"/>
  <c r="E21"/>
  <c r="D21"/>
  <c r="AY20"/>
  <c r="AX20"/>
  <c r="AW20"/>
  <c r="AV20"/>
  <c r="AU20"/>
  <c r="AR20" s="1"/>
  <c r="AJ20"/>
  <c r="AI20"/>
  <c r="AH20"/>
  <c r="AG20"/>
  <c r="AF20"/>
  <c r="AE20"/>
  <c r="AD20"/>
  <c r="T20"/>
  <c r="S20"/>
  <c r="R20"/>
  <c r="Q20"/>
  <c r="P20"/>
  <c r="O20"/>
  <c r="N20"/>
  <c r="M20"/>
  <c r="L20"/>
  <c r="K20"/>
  <c r="J20"/>
  <c r="I20"/>
  <c r="G20"/>
  <c r="E20"/>
  <c r="D20"/>
  <c r="C19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AY12"/>
  <c r="AX12"/>
  <c r="AW12"/>
  <c r="AV12"/>
  <c r="AU12"/>
  <c r="AJ12"/>
  <c r="AI12"/>
  <c r="AH12"/>
  <c r="AG12"/>
  <c r="AF12"/>
  <c r="AE12"/>
  <c r="AD12"/>
  <c r="V12" s="1"/>
  <c r="T12"/>
  <c r="S12"/>
  <c r="R12"/>
  <c r="Q12"/>
  <c r="P12"/>
  <c r="O12"/>
  <c r="N12"/>
  <c r="M12"/>
  <c r="L12"/>
  <c r="K12"/>
  <c r="J12"/>
  <c r="I12"/>
  <c r="H12"/>
  <c r="E12"/>
  <c r="D12"/>
  <c r="AY11"/>
  <c r="AX11"/>
  <c r="AW11"/>
  <c r="AV11"/>
  <c r="AU11"/>
  <c r="AZ11" s="1"/>
  <c r="AJ11"/>
  <c r="AI11"/>
  <c r="AH11"/>
  <c r="AG11"/>
  <c r="AF11"/>
  <c r="AE11"/>
  <c r="AD11"/>
  <c r="T11"/>
  <c r="S11"/>
  <c r="R11"/>
  <c r="Q11"/>
  <c r="P11"/>
  <c r="O11"/>
  <c r="N11"/>
  <c r="G11" s="1"/>
  <c r="M11"/>
  <c r="L11"/>
  <c r="K11"/>
  <c r="J11"/>
  <c r="I11"/>
  <c r="H11"/>
  <c r="E11"/>
  <c r="D11"/>
  <c r="AY10"/>
  <c r="AX10"/>
  <c r="AW10"/>
  <c r="AV10"/>
  <c r="AU10"/>
  <c r="AJ10"/>
  <c r="AI10"/>
  <c r="AH10"/>
  <c r="AG10"/>
  <c r="AF10"/>
  <c r="AE10"/>
  <c r="AD10"/>
  <c r="T10"/>
  <c r="S10"/>
  <c r="R10"/>
  <c r="Q10"/>
  <c r="P10"/>
  <c r="O10"/>
  <c r="N10"/>
  <c r="M10"/>
  <c r="L10"/>
  <c r="K10"/>
  <c r="J10"/>
  <c r="I10"/>
  <c r="H10"/>
  <c r="E10"/>
  <c r="D10"/>
  <c r="AY9"/>
  <c r="AX9"/>
  <c r="AW9"/>
  <c r="AV9"/>
  <c r="AU9"/>
  <c r="AJ9"/>
  <c r="AI9"/>
  <c r="AH9"/>
  <c r="AG9"/>
  <c r="AF9"/>
  <c r="AE9"/>
  <c r="AD9"/>
  <c r="T9"/>
  <c r="S9"/>
  <c r="R9"/>
  <c r="Q9"/>
  <c r="P9"/>
  <c r="O9"/>
  <c r="N9"/>
  <c r="M9"/>
  <c r="L9"/>
  <c r="K9"/>
  <c r="J9"/>
  <c r="I9"/>
  <c r="H9"/>
  <c r="E9"/>
  <c r="D9"/>
  <c r="AY8"/>
  <c r="AX8"/>
  <c r="AW8"/>
  <c r="AV8"/>
  <c r="AU8"/>
  <c r="AJ8"/>
  <c r="AI8"/>
  <c r="AH8"/>
  <c r="AG8"/>
  <c r="AF8"/>
  <c r="AE8"/>
  <c r="AD8"/>
  <c r="T8"/>
  <c r="S8"/>
  <c r="R8"/>
  <c r="Q8"/>
  <c r="P8"/>
  <c r="O8"/>
  <c r="N8"/>
  <c r="M8"/>
  <c r="L8"/>
  <c r="K8"/>
  <c r="J8"/>
  <c r="I8"/>
  <c r="H8"/>
  <c r="E8"/>
  <c r="D8"/>
  <c r="AY7"/>
  <c r="AX7"/>
  <c r="AW7"/>
  <c r="AV7"/>
  <c r="AU7"/>
  <c r="AJ7"/>
  <c r="AI7"/>
  <c r="AH7"/>
  <c r="AG7"/>
  <c r="AF7"/>
  <c r="AE7"/>
  <c r="AD7"/>
  <c r="T7"/>
  <c r="S7"/>
  <c r="R7"/>
  <c r="Q7"/>
  <c r="P7"/>
  <c r="O7"/>
  <c r="N7"/>
  <c r="M7"/>
  <c r="L7"/>
  <c r="K7"/>
  <c r="J7"/>
  <c r="I7"/>
  <c r="H7"/>
  <c r="E7"/>
  <c r="D7"/>
  <c r="AY6"/>
  <c r="AX6"/>
  <c r="AW6"/>
  <c r="AV6"/>
  <c r="AU6"/>
  <c r="AJ6"/>
  <c r="AI6"/>
  <c r="AH6"/>
  <c r="AG6"/>
  <c r="AF6"/>
  <c r="AE6"/>
  <c r="AD6"/>
  <c r="T6"/>
  <c r="S6"/>
  <c r="R6"/>
  <c r="Q6"/>
  <c r="P6"/>
  <c r="O6"/>
  <c r="N6"/>
  <c r="M6"/>
  <c r="L6"/>
  <c r="K6"/>
  <c r="J6"/>
  <c r="I6"/>
  <c r="H6"/>
  <c r="E6"/>
  <c r="D6"/>
  <c r="C5"/>
  <c r="AG72" i="3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AF70"/>
  <c r="AE70"/>
  <c r="AD70"/>
  <c r="AB70"/>
  <c r="AA70"/>
  <c r="Z70"/>
  <c r="N70"/>
  <c r="M70"/>
  <c r="L70"/>
  <c r="K70"/>
  <c r="I70"/>
  <c r="E70"/>
  <c r="D70"/>
  <c r="AF69"/>
  <c r="AE69"/>
  <c r="AD69"/>
  <c r="AB69"/>
  <c r="AA69"/>
  <c r="Z69"/>
  <c r="N69"/>
  <c r="M69"/>
  <c r="L69"/>
  <c r="K69"/>
  <c r="I69"/>
  <c r="E69"/>
  <c r="D69"/>
  <c r="AF68"/>
  <c r="AE68"/>
  <c r="AD68"/>
  <c r="AB68"/>
  <c r="AA68"/>
  <c r="Z68"/>
  <c r="N68"/>
  <c r="M68"/>
  <c r="L68"/>
  <c r="K68"/>
  <c r="I68"/>
  <c r="E68"/>
  <c r="D68"/>
  <c r="AF67"/>
  <c r="AE67"/>
  <c r="AD67"/>
  <c r="AB67"/>
  <c r="AA67"/>
  <c r="Z67"/>
  <c r="N67"/>
  <c r="M67"/>
  <c r="L67"/>
  <c r="K67"/>
  <c r="I67"/>
  <c r="E67"/>
  <c r="D67"/>
  <c r="AF66"/>
  <c r="AE66"/>
  <c r="AD66"/>
  <c r="AB66"/>
  <c r="AA66"/>
  <c r="Z66"/>
  <c r="N66"/>
  <c r="M66"/>
  <c r="L66"/>
  <c r="K66"/>
  <c r="I66"/>
  <c r="E66"/>
  <c r="D66"/>
  <c r="AF65"/>
  <c r="AE65"/>
  <c r="AD65"/>
  <c r="AB65"/>
  <c r="AA65"/>
  <c r="Z65"/>
  <c r="N65"/>
  <c r="M65"/>
  <c r="L65"/>
  <c r="K65"/>
  <c r="I65"/>
  <c r="E65"/>
  <c r="D65"/>
  <c r="AF64"/>
  <c r="AE64"/>
  <c r="AD64"/>
  <c r="AB64"/>
  <c r="AA64"/>
  <c r="Z64"/>
  <c r="N64"/>
  <c r="M64"/>
  <c r="L64"/>
  <c r="K64"/>
  <c r="I64"/>
  <c r="E64"/>
  <c r="D64"/>
  <c r="AF63"/>
  <c r="AE63"/>
  <c r="AD63"/>
  <c r="AB63"/>
  <c r="AA63"/>
  <c r="Z63"/>
  <c r="N63"/>
  <c r="M63"/>
  <c r="L63"/>
  <c r="K63"/>
  <c r="I63"/>
  <c r="E63"/>
  <c r="D63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F59"/>
  <c r="AE59"/>
  <c r="AD59"/>
  <c r="AB59"/>
  <c r="AA59"/>
  <c r="Z59"/>
  <c r="N59"/>
  <c r="M59"/>
  <c r="L59"/>
  <c r="K59"/>
  <c r="I59"/>
  <c r="E59"/>
  <c r="D59"/>
  <c r="AF56"/>
  <c r="AE56"/>
  <c r="AD56"/>
  <c r="AB56"/>
  <c r="AA56"/>
  <c r="Z56"/>
  <c r="N56"/>
  <c r="M56"/>
  <c r="L56"/>
  <c r="K56"/>
  <c r="I56"/>
  <c r="E56"/>
  <c r="D56"/>
  <c r="AF55"/>
  <c r="AE55"/>
  <c r="AD55"/>
  <c r="AB55"/>
  <c r="AA55"/>
  <c r="Z55"/>
  <c r="N55"/>
  <c r="M55"/>
  <c r="L55"/>
  <c r="K55"/>
  <c r="I55"/>
  <c r="E55"/>
  <c r="D55"/>
  <c r="AF54"/>
  <c r="AE54"/>
  <c r="AD54"/>
  <c r="AB54"/>
  <c r="AA54"/>
  <c r="Z54"/>
  <c r="N54"/>
  <c r="M54"/>
  <c r="L54"/>
  <c r="K54"/>
  <c r="I54"/>
  <c r="E54"/>
  <c r="D54"/>
  <c r="AF53"/>
  <c r="AE53"/>
  <c r="AD53"/>
  <c r="AB53"/>
  <c r="AA53"/>
  <c r="Z53"/>
  <c r="N53"/>
  <c r="M53"/>
  <c r="L53"/>
  <c r="K53"/>
  <c r="I53"/>
  <c r="E53"/>
  <c r="D53"/>
  <c r="AF52"/>
  <c r="AE52"/>
  <c r="AD52"/>
  <c r="AB52"/>
  <c r="AA52"/>
  <c r="Z52"/>
  <c r="N52"/>
  <c r="M52"/>
  <c r="L52"/>
  <c r="K52"/>
  <c r="I52"/>
  <c r="E52"/>
  <c r="D52"/>
  <c r="AF51"/>
  <c r="AE51"/>
  <c r="AD51"/>
  <c r="AB51"/>
  <c r="AA51"/>
  <c r="Z51"/>
  <c r="N51"/>
  <c r="M51"/>
  <c r="L51"/>
  <c r="K51"/>
  <c r="I51"/>
  <c r="E51"/>
  <c r="D51"/>
  <c r="O49"/>
  <c r="P49" s="1"/>
  <c r="C47"/>
  <c r="C46"/>
  <c r="R44"/>
  <c r="X38" s="1"/>
  <c r="Q44"/>
  <c r="W38" s="1"/>
  <c r="P44"/>
  <c r="O44"/>
  <c r="N44"/>
  <c r="M44"/>
  <c r="L44"/>
  <c r="K44"/>
  <c r="J44"/>
  <c r="H44"/>
  <c r="G44"/>
  <c r="F44"/>
  <c r="E44"/>
  <c r="R43"/>
  <c r="X39" s="1"/>
  <c r="Q43"/>
  <c r="W39" s="1"/>
  <c r="P43"/>
  <c r="O43"/>
  <c r="N43"/>
  <c r="M43"/>
  <c r="L43"/>
  <c r="K43"/>
  <c r="J43"/>
  <c r="H43"/>
  <c r="G43"/>
  <c r="F43"/>
  <c r="E43"/>
  <c r="R42"/>
  <c r="X41" s="1"/>
  <c r="Q42"/>
  <c r="P42"/>
  <c r="O42"/>
  <c r="N42"/>
  <c r="M42"/>
  <c r="L42"/>
  <c r="K42"/>
  <c r="J42"/>
  <c r="H42"/>
  <c r="G42"/>
  <c r="F42"/>
  <c r="E42"/>
  <c r="W41"/>
  <c r="R41"/>
  <c r="X43" s="1"/>
  <c r="Q41"/>
  <c r="W43" s="1"/>
  <c r="P41"/>
  <c r="O41"/>
  <c r="N41"/>
  <c r="M41"/>
  <c r="L41"/>
  <c r="K41"/>
  <c r="J41"/>
  <c r="H41"/>
  <c r="G41"/>
  <c r="F41"/>
  <c r="E41"/>
  <c r="R40"/>
  <c r="X36" s="1"/>
  <c r="Q40"/>
  <c r="P40"/>
  <c r="O40"/>
  <c r="N40"/>
  <c r="M40"/>
  <c r="L40"/>
  <c r="K40"/>
  <c r="J40"/>
  <c r="H40"/>
  <c r="G40"/>
  <c r="F40"/>
  <c r="E40"/>
  <c r="R39"/>
  <c r="X37" s="1"/>
  <c r="Q39"/>
  <c r="W37" s="1"/>
  <c r="P39"/>
  <c r="O39"/>
  <c r="N39"/>
  <c r="M39"/>
  <c r="L39"/>
  <c r="K39"/>
  <c r="J39"/>
  <c r="H39"/>
  <c r="G39"/>
  <c r="F39"/>
  <c r="E39"/>
  <c r="R38"/>
  <c r="X40" s="1"/>
  <c r="Q38"/>
  <c r="W40" s="1"/>
  <c r="P38"/>
  <c r="O38"/>
  <c r="N38"/>
  <c r="M38"/>
  <c r="L38"/>
  <c r="K38"/>
  <c r="J38"/>
  <c r="H38"/>
  <c r="G38"/>
  <c r="F38"/>
  <c r="E38"/>
  <c r="R37"/>
  <c r="Q37"/>
  <c r="P37"/>
  <c r="O37"/>
  <c r="N37"/>
  <c r="M37"/>
  <c r="L37"/>
  <c r="K37"/>
  <c r="J37"/>
  <c r="H37"/>
  <c r="G37"/>
  <c r="F37"/>
  <c r="E37"/>
  <c r="W36"/>
  <c r="R36"/>
  <c r="X42" s="1"/>
  <c r="Q36"/>
  <c r="W42" s="1"/>
  <c r="P36"/>
  <c r="O36"/>
  <c r="N36"/>
  <c r="M36"/>
  <c r="L36"/>
  <c r="K36"/>
  <c r="J36"/>
  <c r="H36"/>
  <c r="G36"/>
  <c r="F36"/>
  <c r="E36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Y32"/>
  <c r="AX32"/>
  <c r="AW32"/>
  <c r="AV32"/>
  <c r="AU32"/>
  <c r="AT32" s="1"/>
  <c r="AR32"/>
  <c r="AN32"/>
  <c r="AJ32"/>
  <c r="AI32"/>
  <c r="AH32"/>
  <c r="AG32"/>
  <c r="AF32"/>
  <c r="AE32"/>
  <c r="AD32"/>
  <c r="AK32" s="1"/>
  <c r="Z32"/>
  <c r="X32"/>
  <c r="V32"/>
  <c r="T32"/>
  <c r="S32"/>
  <c r="R32"/>
  <c r="Q32"/>
  <c r="P32"/>
  <c r="O32"/>
  <c r="N32"/>
  <c r="M32"/>
  <c r="L32"/>
  <c r="K32"/>
  <c r="J32"/>
  <c r="I32"/>
  <c r="H32"/>
  <c r="G32"/>
  <c r="F32"/>
  <c r="E32"/>
  <c r="D32"/>
  <c r="AY31"/>
  <c r="AX31"/>
  <c r="AW31"/>
  <c r="AV31"/>
  <c r="AU31"/>
  <c r="AJ31"/>
  <c r="AI31"/>
  <c r="AH31"/>
  <c r="AG31"/>
  <c r="AF31"/>
  <c r="AE31"/>
  <c r="AD31"/>
  <c r="AA31" s="1"/>
  <c r="T31"/>
  <c r="S31"/>
  <c r="R31"/>
  <c r="Q31"/>
  <c r="P31"/>
  <c r="O31"/>
  <c r="N31"/>
  <c r="M31"/>
  <c r="L31"/>
  <c r="K31"/>
  <c r="J31"/>
  <c r="I31"/>
  <c r="H31"/>
  <c r="G31"/>
  <c r="F31"/>
  <c r="E31"/>
  <c r="D31"/>
  <c r="AY30"/>
  <c r="AX30"/>
  <c r="AW30"/>
  <c r="AV30"/>
  <c r="AU30"/>
  <c r="AR30" s="1"/>
  <c r="AJ30"/>
  <c r="AI30"/>
  <c r="AH30"/>
  <c r="AG30"/>
  <c r="AF30"/>
  <c r="AE30"/>
  <c r="AD30"/>
  <c r="T30"/>
  <c r="S30"/>
  <c r="R30"/>
  <c r="Q30"/>
  <c r="P30"/>
  <c r="O30"/>
  <c r="N30"/>
  <c r="M30"/>
  <c r="L30"/>
  <c r="K30"/>
  <c r="J30"/>
  <c r="I30"/>
  <c r="H30"/>
  <c r="G30"/>
  <c r="F30"/>
  <c r="F29" s="1"/>
  <c r="E30"/>
  <c r="D30"/>
  <c r="C29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Y26"/>
  <c r="AX26"/>
  <c r="AW26"/>
  <c r="AV26"/>
  <c r="AU26"/>
  <c r="AT26" s="1"/>
  <c r="AR26"/>
  <c r="AN26"/>
  <c r="AJ26"/>
  <c r="AI26"/>
  <c r="AH26"/>
  <c r="AG26"/>
  <c r="AF26"/>
  <c r="AE26"/>
  <c r="AD26"/>
  <c r="AK26" s="1"/>
  <c r="Z26"/>
  <c r="V26"/>
  <c r="T26"/>
  <c r="S26"/>
  <c r="R26"/>
  <c r="Q26"/>
  <c r="P26"/>
  <c r="O26"/>
  <c r="N26"/>
  <c r="M26"/>
  <c r="L26"/>
  <c r="K26"/>
  <c r="J26"/>
  <c r="I26"/>
  <c r="H26"/>
  <c r="G26"/>
  <c r="F26"/>
  <c r="E26"/>
  <c r="D26"/>
  <c r="AY25"/>
  <c r="AX25"/>
  <c r="AW25"/>
  <c r="AV25"/>
  <c r="AU25"/>
  <c r="AZ25" s="1"/>
  <c r="AQ25"/>
  <c r="AM25"/>
  <c r="AJ25"/>
  <c r="AI25"/>
  <c r="AH25"/>
  <c r="AG25"/>
  <c r="AF25"/>
  <c r="AE25"/>
  <c r="AB25" s="1"/>
  <c r="AD25"/>
  <c r="AC25"/>
  <c r="AA25"/>
  <c r="Y25"/>
  <c r="W25"/>
  <c r="U25"/>
  <c r="T25"/>
  <c r="S25"/>
  <c r="R25"/>
  <c r="Q25"/>
  <c r="P25"/>
  <c r="O25"/>
  <c r="N25"/>
  <c r="M25"/>
  <c r="L25"/>
  <c r="K25"/>
  <c r="H25" s="1"/>
  <c r="J25"/>
  <c r="I25"/>
  <c r="G25"/>
  <c r="E25"/>
  <c r="D25"/>
  <c r="AY24"/>
  <c r="AX24"/>
  <c r="AW24"/>
  <c r="AV24"/>
  <c r="AU24"/>
  <c r="AT24" s="1"/>
  <c r="AN24"/>
  <c r="AJ24"/>
  <c r="AI24"/>
  <c r="AH24"/>
  <c r="AG24"/>
  <c r="AF24"/>
  <c r="AE24"/>
  <c r="AD24"/>
  <c r="Z24"/>
  <c r="V24"/>
  <c r="T24"/>
  <c r="S24"/>
  <c r="R24"/>
  <c r="Q24"/>
  <c r="P24"/>
  <c r="O24"/>
  <c r="N24"/>
  <c r="M24"/>
  <c r="L24"/>
  <c r="K24"/>
  <c r="J24"/>
  <c r="I24"/>
  <c r="H24"/>
  <c r="G24"/>
  <c r="F24"/>
  <c r="E24"/>
  <c r="D24"/>
  <c r="AY23"/>
  <c r="AX23"/>
  <c r="AW23"/>
  <c r="AV23"/>
  <c r="AU23"/>
  <c r="AJ23"/>
  <c r="AI23"/>
  <c r="AH23"/>
  <c r="AG23"/>
  <c r="AF23"/>
  <c r="AE23"/>
  <c r="AD23"/>
  <c r="T23"/>
  <c r="S23"/>
  <c r="R23"/>
  <c r="Q23"/>
  <c r="G23" s="1"/>
  <c r="P23"/>
  <c r="O23"/>
  <c r="N23"/>
  <c r="M23"/>
  <c r="L23"/>
  <c r="K23"/>
  <c r="J23"/>
  <c r="I23"/>
  <c r="E23"/>
  <c r="D23"/>
  <c r="AY22"/>
  <c r="AX22"/>
  <c r="AW22"/>
  <c r="AV22"/>
  <c r="AU22"/>
  <c r="AT22" s="1"/>
  <c r="AJ22"/>
  <c r="AI22"/>
  <c r="AH22"/>
  <c r="AG22"/>
  <c r="AF22"/>
  <c r="AE22"/>
  <c r="AD22"/>
  <c r="V22"/>
  <c r="T22"/>
  <c r="S22"/>
  <c r="R22"/>
  <c r="Q22"/>
  <c r="G22" s="1"/>
  <c r="P22"/>
  <c r="O22"/>
  <c r="N22"/>
  <c r="M22"/>
  <c r="F22" s="1"/>
  <c r="L22"/>
  <c r="K22"/>
  <c r="H22" s="1"/>
  <c r="J22"/>
  <c r="I22"/>
  <c r="E22"/>
  <c r="D22"/>
  <c r="AY21"/>
  <c r="AX21"/>
  <c r="AW21"/>
  <c r="AV21"/>
  <c r="AU21"/>
  <c r="AJ21"/>
  <c r="AI21"/>
  <c r="AH21"/>
  <c r="AG21"/>
  <c r="AF21"/>
  <c r="AE21"/>
  <c r="AD21"/>
  <c r="T21"/>
  <c r="S21"/>
  <c r="R21"/>
  <c r="Q21"/>
  <c r="G21" s="1"/>
  <c r="P21"/>
  <c r="O21"/>
  <c r="N21"/>
  <c r="M21"/>
  <c r="L21"/>
  <c r="K21"/>
  <c r="J21"/>
  <c r="I21"/>
  <c r="E21"/>
  <c r="D21"/>
  <c r="AY20"/>
  <c r="AX20"/>
  <c r="AW20"/>
  <c r="AV20"/>
  <c r="AU20"/>
  <c r="AJ20"/>
  <c r="AI20"/>
  <c r="AH20"/>
  <c r="AG20"/>
  <c r="AF20"/>
  <c r="AE20"/>
  <c r="AD20"/>
  <c r="T20"/>
  <c r="S20"/>
  <c r="R20"/>
  <c r="Q20"/>
  <c r="G20" s="1"/>
  <c r="P20"/>
  <c r="O20"/>
  <c r="N20"/>
  <c r="M20"/>
  <c r="L20"/>
  <c r="K20"/>
  <c r="J20"/>
  <c r="I20"/>
  <c r="E20"/>
  <c r="D20"/>
  <c r="C19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Y16"/>
  <c r="AX16"/>
  <c r="AW16"/>
  <c r="AV16"/>
  <c r="AU16"/>
  <c r="AT16" s="1"/>
  <c r="AR16"/>
  <c r="AN16"/>
  <c r="AJ16"/>
  <c r="AI16"/>
  <c r="AH16"/>
  <c r="AG16"/>
  <c r="AF16"/>
  <c r="AE16"/>
  <c r="AD16"/>
  <c r="AK16" s="1"/>
  <c r="Z16"/>
  <c r="V16"/>
  <c r="T16"/>
  <c r="S16"/>
  <c r="R16"/>
  <c r="Q16"/>
  <c r="P16"/>
  <c r="O16"/>
  <c r="N16"/>
  <c r="M16"/>
  <c r="L16"/>
  <c r="K16"/>
  <c r="J16"/>
  <c r="I16"/>
  <c r="H16"/>
  <c r="F16"/>
  <c r="E16"/>
  <c r="D16"/>
  <c r="AY15"/>
  <c r="AX15"/>
  <c r="AW15"/>
  <c r="AV15"/>
  <c r="AU15"/>
  <c r="AZ15" s="1"/>
  <c r="AQ15"/>
  <c r="AM15"/>
  <c r="AJ15"/>
  <c r="AI15"/>
  <c r="AH15"/>
  <c r="AG15"/>
  <c r="AF15"/>
  <c r="AE15"/>
  <c r="AB15" s="1"/>
  <c r="AD15"/>
  <c r="AC15"/>
  <c r="AA15"/>
  <c r="Y15"/>
  <c r="W15"/>
  <c r="U15"/>
  <c r="T15"/>
  <c r="S15"/>
  <c r="R15"/>
  <c r="Q15"/>
  <c r="P15"/>
  <c r="O15"/>
  <c r="N15"/>
  <c r="M15"/>
  <c r="F15" s="1"/>
  <c r="L15"/>
  <c r="K15"/>
  <c r="J15"/>
  <c r="I15"/>
  <c r="H15"/>
  <c r="G15"/>
  <c r="E15"/>
  <c r="D15"/>
  <c r="AY14"/>
  <c r="AX14"/>
  <c r="AW14"/>
  <c r="AV14"/>
  <c r="AU14"/>
  <c r="AT14" s="1"/>
  <c r="AR14"/>
  <c r="AN14"/>
  <c r="AJ14"/>
  <c r="AI14"/>
  <c r="AH14"/>
  <c r="AG14"/>
  <c r="AF14"/>
  <c r="AE14"/>
  <c r="AD14"/>
  <c r="Z14" s="1"/>
  <c r="V14"/>
  <c r="T14"/>
  <c r="S14"/>
  <c r="R14"/>
  <c r="Q14"/>
  <c r="P14"/>
  <c r="O14"/>
  <c r="N14"/>
  <c r="M14"/>
  <c r="L14"/>
  <c r="K14"/>
  <c r="J14"/>
  <c r="I14"/>
  <c r="H14"/>
  <c r="F14"/>
  <c r="E14"/>
  <c r="D14"/>
  <c r="AY13"/>
  <c r="AX13"/>
  <c r="AW13"/>
  <c r="AV13"/>
  <c r="AU13"/>
  <c r="AS13" s="1"/>
  <c r="AM13"/>
  <c r="AJ13"/>
  <c r="AI13"/>
  <c r="AH13"/>
  <c r="AG13"/>
  <c r="AF13"/>
  <c r="AE13"/>
  <c r="AB13" s="1"/>
  <c r="AD13"/>
  <c r="AC13"/>
  <c r="Y13"/>
  <c r="U13"/>
  <c r="T13"/>
  <c r="S13"/>
  <c r="R13"/>
  <c r="Q13"/>
  <c r="P13"/>
  <c r="O13"/>
  <c r="N13"/>
  <c r="M13"/>
  <c r="F13" s="1"/>
  <c r="L13"/>
  <c r="K13"/>
  <c r="J13"/>
  <c r="I13"/>
  <c r="H13"/>
  <c r="G13"/>
  <c r="E13"/>
  <c r="D13"/>
  <c r="AY12"/>
  <c r="AX12"/>
  <c r="AW12"/>
  <c r="AV12"/>
  <c r="AU12"/>
  <c r="AJ12"/>
  <c r="AI12"/>
  <c r="AH12"/>
  <c r="AG12"/>
  <c r="AF12"/>
  <c r="AE12"/>
  <c r="AD12"/>
  <c r="T12"/>
  <c r="S12"/>
  <c r="R12"/>
  <c r="Q12"/>
  <c r="P12"/>
  <c r="O12"/>
  <c r="N12"/>
  <c r="M12"/>
  <c r="L12"/>
  <c r="K12"/>
  <c r="J12"/>
  <c r="I12"/>
  <c r="H12"/>
  <c r="E12"/>
  <c r="D12"/>
  <c r="AY11"/>
  <c r="AX11"/>
  <c r="AW11"/>
  <c r="AV11"/>
  <c r="AU11"/>
  <c r="AJ11"/>
  <c r="AI11"/>
  <c r="AH11"/>
  <c r="AG11"/>
  <c r="AF11"/>
  <c r="AE11"/>
  <c r="AD11"/>
  <c r="W11" s="1"/>
  <c r="T11"/>
  <c r="S11"/>
  <c r="R11"/>
  <c r="Q11"/>
  <c r="P11"/>
  <c r="O11"/>
  <c r="N11"/>
  <c r="M11"/>
  <c r="L11"/>
  <c r="K11"/>
  <c r="J11"/>
  <c r="I11"/>
  <c r="H11"/>
  <c r="G11"/>
  <c r="E11"/>
  <c r="D11"/>
  <c r="AY10"/>
  <c r="AX10"/>
  <c r="AW10"/>
  <c r="AV10"/>
  <c r="AU10"/>
  <c r="AJ10"/>
  <c r="AI10"/>
  <c r="AH10"/>
  <c r="AG10"/>
  <c r="AF10"/>
  <c r="AE10"/>
  <c r="AD10"/>
  <c r="Z10" s="1"/>
  <c r="T10"/>
  <c r="S10"/>
  <c r="R10"/>
  <c r="Q10"/>
  <c r="P10"/>
  <c r="O10"/>
  <c r="N10"/>
  <c r="M10"/>
  <c r="L10"/>
  <c r="K10"/>
  <c r="J10"/>
  <c r="I10"/>
  <c r="H10"/>
  <c r="E10"/>
  <c r="D10"/>
  <c r="AY9"/>
  <c r="AX9"/>
  <c r="AW9"/>
  <c r="AV9"/>
  <c r="AU9"/>
  <c r="AJ9"/>
  <c r="AI9"/>
  <c r="AH9"/>
  <c r="AG9"/>
  <c r="AF9"/>
  <c r="AE9"/>
  <c r="AD9"/>
  <c r="T9"/>
  <c r="S9"/>
  <c r="R9"/>
  <c r="Q9"/>
  <c r="P9"/>
  <c r="O9"/>
  <c r="N9"/>
  <c r="M9"/>
  <c r="L9"/>
  <c r="K9"/>
  <c r="J9"/>
  <c r="I9"/>
  <c r="H9"/>
  <c r="E9"/>
  <c r="D9"/>
  <c r="AY8"/>
  <c r="AX8"/>
  <c r="AW8"/>
  <c r="AV8"/>
  <c r="AU8"/>
  <c r="AJ8"/>
  <c r="AI8"/>
  <c r="AH8"/>
  <c r="AG8"/>
  <c r="AF8"/>
  <c r="AE8"/>
  <c r="AD8"/>
  <c r="Z8" s="1"/>
  <c r="T8"/>
  <c r="S8"/>
  <c r="R8"/>
  <c r="Q8"/>
  <c r="P8"/>
  <c r="O8"/>
  <c r="N8"/>
  <c r="M8"/>
  <c r="L8"/>
  <c r="K8"/>
  <c r="J8"/>
  <c r="I8"/>
  <c r="H8"/>
  <c r="E8"/>
  <c r="D8"/>
  <c r="AY7"/>
  <c r="AX7"/>
  <c r="AW7"/>
  <c r="AV7"/>
  <c r="AU7"/>
  <c r="AM7" s="1"/>
  <c r="AJ7"/>
  <c r="AI7"/>
  <c r="AH7"/>
  <c r="AG7"/>
  <c r="AF7"/>
  <c r="AE7"/>
  <c r="AD7"/>
  <c r="T7"/>
  <c r="S7"/>
  <c r="R7"/>
  <c r="Q7"/>
  <c r="P7"/>
  <c r="O7"/>
  <c r="N7"/>
  <c r="M7"/>
  <c r="L7"/>
  <c r="K7"/>
  <c r="J7"/>
  <c r="I7"/>
  <c r="H7"/>
  <c r="E7"/>
  <c r="D7"/>
  <c r="AY6"/>
  <c r="AX6"/>
  <c r="AW6"/>
  <c r="AV6"/>
  <c r="AU6"/>
  <c r="AJ6"/>
  <c r="AI6"/>
  <c r="AH6"/>
  <c r="AG6"/>
  <c r="AF6"/>
  <c r="AE6"/>
  <c r="AD6"/>
  <c r="T6"/>
  <c r="S6"/>
  <c r="R6"/>
  <c r="Q6"/>
  <c r="P6"/>
  <c r="O6"/>
  <c r="N6"/>
  <c r="M6"/>
  <c r="L6"/>
  <c r="K6"/>
  <c r="J6"/>
  <c r="I6"/>
  <c r="H6"/>
  <c r="E6"/>
  <c r="D6"/>
  <c r="C5"/>
  <c r="H72" i="30"/>
  <c r="G72"/>
  <c r="F72"/>
  <c r="H60"/>
  <c r="G60"/>
  <c r="F60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I72"/>
  <c r="AF71"/>
  <c r="AE71"/>
  <c r="AD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I71"/>
  <c r="AF70"/>
  <c r="AE70"/>
  <c r="AD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I70"/>
  <c r="AF69"/>
  <c r="AE69"/>
  <c r="AD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I69"/>
  <c r="AF68"/>
  <c r="AE68"/>
  <c r="AD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I68"/>
  <c r="AF67"/>
  <c r="AE67"/>
  <c r="AD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I67"/>
  <c r="AF66"/>
  <c r="AE66"/>
  <c r="AD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I66"/>
  <c r="AF65"/>
  <c r="AE65"/>
  <c r="AD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I65"/>
  <c r="AF64"/>
  <c r="AE64"/>
  <c r="AD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I64"/>
  <c r="AF63"/>
  <c r="AE63"/>
  <c r="AD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I63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I60"/>
  <c r="AF59"/>
  <c r="AE59"/>
  <c r="AD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I59"/>
  <c r="AF56"/>
  <c r="AE56"/>
  <c r="AD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I56"/>
  <c r="AF55"/>
  <c r="AE55"/>
  <c r="AD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I55"/>
  <c r="AF54"/>
  <c r="AE54"/>
  <c r="AD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I54"/>
  <c r="AF53"/>
  <c r="AE53"/>
  <c r="AD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I53"/>
  <c r="AF52"/>
  <c r="AE52"/>
  <c r="AD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I52"/>
  <c r="AF51"/>
  <c r="AE51"/>
  <c r="AD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I51"/>
  <c r="AG70" i="9"/>
  <c r="AF70"/>
  <c r="AE70"/>
  <c r="AD70"/>
  <c r="AC70"/>
  <c r="AF69"/>
  <c r="AE69"/>
  <c r="AD69"/>
  <c r="AF68"/>
  <c r="AE68"/>
  <c r="AD68"/>
  <c r="AF67"/>
  <c r="AE67"/>
  <c r="AD67"/>
  <c r="AF66"/>
  <c r="AE66"/>
  <c r="AD66"/>
  <c r="AF65"/>
  <c r="AE65"/>
  <c r="AD65"/>
  <c r="AF62"/>
  <c r="AE62"/>
  <c r="AD62"/>
  <c r="AF61"/>
  <c r="AE61"/>
  <c r="AD61"/>
  <c r="AG58"/>
  <c r="AF58"/>
  <c r="AE58"/>
  <c r="AD58"/>
  <c r="AC58"/>
  <c r="AF57"/>
  <c r="AE57"/>
  <c r="AD57"/>
  <c r="AF56"/>
  <c r="AE56"/>
  <c r="AD56"/>
  <c r="AF55"/>
  <c r="AE55"/>
  <c r="AD55"/>
  <c r="AF54"/>
  <c r="AE54"/>
  <c r="AD54"/>
  <c r="AF53"/>
  <c r="AE53"/>
  <c r="AD53"/>
  <c r="AX50" i="6"/>
  <c r="D49" i="9"/>
  <c r="D48"/>
  <c r="AY16" i="30"/>
  <c r="AX16"/>
  <c r="AW16"/>
  <c r="AV16"/>
  <c r="AU16"/>
  <c r="AJ16"/>
  <c r="AI16"/>
  <c r="AH16"/>
  <c r="AG16"/>
  <c r="AF16"/>
  <c r="AE16"/>
  <c r="AD16"/>
  <c r="T16"/>
  <c r="S16"/>
  <c r="R16"/>
  <c r="Q16"/>
  <c r="P16"/>
  <c r="O16"/>
  <c r="N16"/>
  <c r="M16"/>
  <c r="L16"/>
  <c r="K16"/>
  <c r="J16"/>
  <c r="I16"/>
  <c r="H16"/>
  <c r="E16"/>
  <c r="D16"/>
  <c r="AY15"/>
  <c r="AX15"/>
  <c r="AW15"/>
  <c r="AV15"/>
  <c r="AU15"/>
  <c r="AJ15"/>
  <c r="AI15"/>
  <c r="AH15"/>
  <c r="AG15"/>
  <c r="AF15"/>
  <c r="AE15"/>
  <c r="AD15"/>
  <c r="T15"/>
  <c r="S15"/>
  <c r="R15"/>
  <c r="Q15"/>
  <c r="P15"/>
  <c r="O15"/>
  <c r="N15"/>
  <c r="M15"/>
  <c r="L15"/>
  <c r="K15"/>
  <c r="J15"/>
  <c r="I15"/>
  <c r="H15"/>
  <c r="E15"/>
  <c r="D15"/>
  <c r="AY24"/>
  <c r="AX24"/>
  <c r="AW24"/>
  <c r="AV24"/>
  <c r="AU24"/>
  <c r="AJ24"/>
  <c r="AI24"/>
  <c r="AH24"/>
  <c r="AG24"/>
  <c r="AF24"/>
  <c r="AE24"/>
  <c r="AD24"/>
  <c r="T24"/>
  <c r="S24"/>
  <c r="R24"/>
  <c r="Q24"/>
  <c r="G24" s="1"/>
  <c r="P24"/>
  <c r="O24"/>
  <c r="N24"/>
  <c r="M24"/>
  <c r="L24"/>
  <c r="K24"/>
  <c r="J24"/>
  <c r="I24"/>
  <c r="E24"/>
  <c r="D24"/>
  <c r="AY25"/>
  <c r="AX25"/>
  <c r="AW25"/>
  <c r="AV25"/>
  <c r="AU25"/>
  <c r="AM25" s="1"/>
  <c r="AJ25"/>
  <c r="AI25"/>
  <c r="AH25"/>
  <c r="AG25"/>
  <c r="AF25"/>
  <c r="AE25"/>
  <c r="AD25"/>
  <c r="T25"/>
  <c r="S25"/>
  <c r="R25"/>
  <c r="Q25"/>
  <c r="G25" s="1"/>
  <c r="P25"/>
  <c r="O25"/>
  <c r="N25"/>
  <c r="M25"/>
  <c r="L25"/>
  <c r="K25"/>
  <c r="J25"/>
  <c r="I25"/>
  <c r="E25"/>
  <c r="D25"/>
  <c r="AY32"/>
  <c r="AX32"/>
  <c r="AW32"/>
  <c r="AV32"/>
  <c r="AU32"/>
  <c r="AJ32"/>
  <c r="AI32"/>
  <c r="AH32"/>
  <c r="AG32"/>
  <c r="AF32"/>
  <c r="AE32"/>
  <c r="AD32"/>
  <c r="T32"/>
  <c r="S32"/>
  <c r="R32"/>
  <c r="Q32"/>
  <c r="P32"/>
  <c r="O32"/>
  <c r="N32"/>
  <c r="M32"/>
  <c r="L32"/>
  <c r="K32"/>
  <c r="J32"/>
  <c r="F32" s="1"/>
  <c r="I32"/>
  <c r="H32"/>
  <c r="G32"/>
  <c r="E32"/>
  <c r="D32"/>
  <c r="D13"/>
  <c r="E13"/>
  <c r="J13"/>
  <c r="K13"/>
  <c r="L13"/>
  <c r="H13" s="1"/>
  <c r="M13"/>
  <c r="N13"/>
  <c r="O13"/>
  <c r="P13"/>
  <c r="Q13"/>
  <c r="R13"/>
  <c r="S13"/>
  <c r="I13" s="1"/>
  <c r="T13"/>
  <c r="AD13"/>
  <c r="AE13"/>
  <c r="AF13"/>
  <c r="AG13"/>
  <c r="AH13"/>
  <c r="AI13"/>
  <c r="AJ13"/>
  <c r="AU13"/>
  <c r="AV13"/>
  <c r="AW13"/>
  <c r="AX13"/>
  <c r="AY13"/>
  <c r="C50" i="6"/>
  <c r="C69"/>
  <c r="C66"/>
  <c r="C78"/>
  <c r="C73"/>
  <c r="C76"/>
  <c r="C77"/>
  <c r="C90"/>
  <c r="AZ50"/>
  <c r="BA50" s="1"/>
  <c r="BD50"/>
  <c r="BE50"/>
  <c r="BF50"/>
  <c r="BG50"/>
  <c r="BH50"/>
  <c r="BI50"/>
  <c r="BJ50"/>
  <c r="BK50"/>
  <c r="BL50"/>
  <c r="BM50"/>
  <c r="AX69"/>
  <c r="AY69" s="1"/>
  <c r="AZ69"/>
  <c r="BA69" s="1"/>
  <c r="BD69"/>
  <c r="BE69"/>
  <c r="BF69"/>
  <c r="BG69"/>
  <c r="BH69"/>
  <c r="BI69"/>
  <c r="BJ69"/>
  <c r="BK69"/>
  <c r="BL69"/>
  <c r="BM69"/>
  <c r="AX66"/>
  <c r="AY66" s="1"/>
  <c r="AZ66"/>
  <c r="BA66" s="1"/>
  <c r="BD66"/>
  <c r="BE66"/>
  <c r="BF66"/>
  <c r="BG66"/>
  <c r="BH66"/>
  <c r="BI66"/>
  <c r="BJ66"/>
  <c r="BK66"/>
  <c r="BL66"/>
  <c r="BM66"/>
  <c r="AX78"/>
  <c r="AY78" s="1"/>
  <c r="AZ78"/>
  <c r="BA78" s="1"/>
  <c r="BD78"/>
  <c r="BE78"/>
  <c r="BF78"/>
  <c r="BG78"/>
  <c r="BH78"/>
  <c r="BI78"/>
  <c r="BJ78"/>
  <c r="BK78"/>
  <c r="BL78"/>
  <c r="BM78"/>
  <c r="AX73"/>
  <c r="AY73" s="1"/>
  <c r="AZ73"/>
  <c r="BA73" s="1"/>
  <c r="BD73"/>
  <c r="BE73"/>
  <c r="BF73"/>
  <c r="BG73"/>
  <c r="BH73"/>
  <c r="BI73"/>
  <c r="BJ73"/>
  <c r="BK73"/>
  <c r="BL73"/>
  <c r="BM73"/>
  <c r="AX76"/>
  <c r="AY76" s="1"/>
  <c r="AZ76"/>
  <c r="BA76" s="1"/>
  <c r="BD76"/>
  <c r="BE76"/>
  <c r="BF76"/>
  <c r="BG76"/>
  <c r="BH76"/>
  <c r="BI76"/>
  <c r="BJ76"/>
  <c r="BK76"/>
  <c r="BL76"/>
  <c r="BM76"/>
  <c r="AX77"/>
  <c r="AY77" s="1"/>
  <c r="AZ77"/>
  <c r="BA77" s="1"/>
  <c r="BD77"/>
  <c r="BE77"/>
  <c r="BF77"/>
  <c r="BG77"/>
  <c r="BH77"/>
  <c r="BI77"/>
  <c r="BJ77"/>
  <c r="BK77"/>
  <c r="BL77"/>
  <c r="BM77"/>
  <c r="AX90"/>
  <c r="AY90" s="1"/>
  <c r="AZ90"/>
  <c r="BA90" s="1"/>
  <c r="BD90"/>
  <c r="BE90"/>
  <c r="BF90"/>
  <c r="BG90"/>
  <c r="BH90"/>
  <c r="BI90"/>
  <c r="BJ90"/>
  <c r="BK90"/>
  <c r="BL90"/>
  <c r="BM90"/>
  <c r="E71" i="5"/>
  <c r="E52"/>
  <c r="E64"/>
  <c r="E72"/>
  <c r="E53"/>
  <c r="E65"/>
  <c r="E73"/>
  <c r="E74"/>
  <c r="E66"/>
  <c r="E75"/>
  <c r="E77"/>
  <c r="E91"/>
  <c r="E67"/>
  <c r="E80"/>
  <c r="E83"/>
  <c r="E82"/>
  <c r="E92"/>
  <c r="E84"/>
  <c r="E86"/>
  <c r="E88"/>
  <c r="E87"/>
  <c r="E89"/>
  <c r="E79"/>
  <c r="E69"/>
  <c r="E76"/>
  <c r="E81"/>
  <c r="E85"/>
  <c r="E78"/>
  <c r="AQ79"/>
  <c r="AR79" s="1"/>
  <c r="AS79"/>
  <c r="AT79" s="1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B79"/>
  <c r="CC79"/>
  <c r="CD79"/>
  <c r="CE79"/>
  <c r="AQ69"/>
  <c r="AR69" s="1"/>
  <c r="AS69"/>
  <c r="AT69" s="1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B69"/>
  <c r="CC69"/>
  <c r="CD69"/>
  <c r="CE69"/>
  <c r="AQ76"/>
  <c r="AR76" s="1"/>
  <c r="AS76"/>
  <c r="AT76" s="1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B76"/>
  <c r="CC76"/>
  <c r="CD76"/>
  <c r="CE76"/>
  <c r="AQ81"/>
  <c r="AR81" s="1"/>
  <c r="AS81"/>
  <c r="AT81" s="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B81"/>
  <c r="CC81"/>
  <c r="CD81"/>
  <c r="CE81"/>
  <c r="AQ85"/>
  <c r="AR85" s="1"/>
  <c r="AS85"/>
  <c r="AT85" s="1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B85"/>
  <c r="CC85"/>
  <c r="CD85"/>
  <c r="CE85"/>
  <c r="AQ78"/>
  <c r="AR78" s="1"/>
  <c r="AS78"/>
  <c r="AT78" s="1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B78"/>
  <c r="CC78"/>
  <c r="CD78"/>
  <c r="CE78"/>
  <c r="Z20" i="32" l="1"/>
  <c r="AC23"/>
  <c r="AB24" i="34"/>
  <c r="X22" i="33"/>
  <c r="CG9" i="5"/>
  <c r="CJ9"/>
  <c r="AK24" i="32"/>
  <c r="AR24"/>
  <c r="CF9" i="5"/>
  <c r="CN9"/>
  <c r="X21" i="32"/>
  <c r="W7" i="33"/>
  <c r="AR8"/>
  <c r="Y9"/>
  <c r="F10"/>
  <c r="Y23"/>
  <c r="Y30" i="34"/>
  <c r="AK13" i="30"/>
  <c r="Y23" i="32"/>
  <c r="X24" i="34"/>
  <c r="AA16" i="30"/>
  <c r="H5" i="32"/>
  <c r="AN6"/>
  <c r="Y7"/>
  <c r="AA9"/>
  <c r="AN10"/>
  <c r="AQ11"/>
  <c r="AM21"/>
  <c r="H23"/>
  <c r="AM23"/>
  <c r="H5" i="33"/>
  <c r="F6"/>
  <c r="AT6"/>
  <c r="AQ7"/>
  <c r="V8"/>
  <c r="AZ9"/>
  <c r="Z10"/>
  <c r="W11"/>
  <c r="AR12"/>
  <c r="H20"/>
  <c r="AS21"/>
  <c r="H23"/>
  <c r="U23"/>
  <c r="AZ23"/>
  <c r="F29"/>
  <c r="AZ31"/>
  <c r="F9" i="34"/>
  <c r="AN9"/>
  <c r="AA10"/>
  <c r="F11"/>
  <c r="AR11"/>
  <c r="AR21"/>
  <c r="AN24"/>
  <c r="U30"/>
  <c r="AZ30"/>
  <c r="AT31"/>
  <c r="Y22"/>
  <c r="F6" i="32"/>
  <c r="F21"/>
  <c r="AC21"/>
  <c r="F8" i="33"/>
  <c r="AA21"/>
  <c r="AT22"/>
  <c r="X30"/>
  <c r="AA8" i="34"/>
  <c r="Y8"/>
  <c r="AK11"/>
  <c r="AM20"/>
  <c r="AK21"/>
  <c r="AZ22"/>
  <c r="AT23"/>
  <c r="V24"/>
  <c r="Z24"/>
  <c r="F12" i="33"/>
  <c r="H25" i="30"/>
  <c r="F24"/>
  <c r="Z6" i="33"/>
  <c r="AC7"/>
  <c r="AN8"/>
  <c r="G9"/>
  <c r="AC9"/>
  <c r="V10"/>
  <c r="AT10"/>
  <c r="AC11"/>
  <c r="AN12"/>
  <c r="Z30"/>
  <c r="AA6" i="34"/>
  <c r="AR7"/>
  <c r="AZ8"/>
  <c r="Z9"/>
  <c r="AR9"/>
  <c r="AC10"/>
  <c r="V11"/>
  <c r="AP11"/>
  <c r="AT24"/>
  <c r="G9" i="32"/>
  <c r="AK20" i="33"/>
  <c r="AC23"/>
  <c r="AC31"/>
  <c r="Y31"/>
  <c r="AC20" i="34"/>
  <c r="AS23"/>
  <c r="AC25" i="30"/>
  <c r="AC71"/>
  <c r="AG71"/>
  <c r="H71" s="1"/>
  <c r="J68" i="34"/>
  <c r="AY50" i="6"/>
  <c r="W23" i="33"/>
  <c r="AB23"/>
  <c r="AA23"/>
  <c r="AM23"/>
  <c r="AK12"/>
  <c r="V30"/>
  <c r="AT30"/>
  <c r="U31"/>
  <c r="AB31"/>
  <c r="AM31"/>
  <c r="F9"/>
  <c r="U9"/>
  <c r="AB9"/>
  <c r="AA9"/>
  <c r="AM9"/>
  <c r="Y7"/>
  <c r="G7"/>
  <c r="AA7"/>
  <c r="AM7"/>
  <c r="AK8"/>
  <c r="AA11"/>
  <c r="AM11"/>
  <c r="AN10"/>
  <c r="AB25" i="30"/>
  <c r="G16"/>
  <c r="AL7" i="34"/>
  <c r="AS9"/>
  <c r="AQ9"/>
  <c r="G10"/>
  <c r="AZ10"/>
  <c r="Z11"/>
  <c r="AC22"/>
  <c r="AP23"/>
  <c r="AP24"/>
  <c r="AC30"/>
  <c r="Z31"/>
  <c r="Z6" i="32"/>
  <c r="G7"/>
  <c r="AC7"/>
  <c r="F8"/>
  <c r="W9"/>
  <c r="AZ9"/>
  <c r="V10"/>
  <c r="V12"/>
  <c r="V21"/>
  <c r="AB21"/>
  <c r="AA21"/>
  <c r="U23"/>
  <c r="AB23"/>
  <c r="AA23"/>
  <c r="AN30"/>
  <c r="W21" i="33"/>
  <c r="AO21"/>
  <c r="AB22"/>
  <c r="F7" i="34"/>
  <c r="AP7"/>
  <c r="X9"/>
  <c r="W10"/>
  <c r="X11"/>
  <c r="AL11"/>
  <c r="AB20"/>
  <c r="AA20"/>
  <c r="AP21"/>
  <c r="AK23"/>
  <c r="AL23"/>
  <c r="AR24"/>
  <c r="V6" i="33"/>
  <c r="AN6"/>
  <c r="V22"/>
  <c r="Z22"/>
  <c r="AN22"/>
  <c r="F20"/>
  <c r="V20"/>
  <c r="AN20"/>
  <c r="G19"/>
  <c r="AC21"/>
  <c r="Y21"/>
  <c r="AQ21"/>
  <c r="C48"/>
  <c r="D46" s="1"/>
  <c r="G11" i="34"/>
  <c r="AB11"/>
  <c r="AN11"/>
  <c r="AT11"/>
  <c r="AZ11"/>
  <c r="Y11"/>
  <c r="G9"/>
  <c r="AK9"/>
  <c r="Y9"/>
  <c r="AL9"/>
  <c r="AP9"/>
  <c r="AP8"/>
  <c r="W8"/>
  <c r="AB8"/>
  <c r="AK8"/>
  <c r="AM8"/>
  <c r="W16" i="30"/>
  <c r="AZ16"/>
  <c r="V6" i="32"/>
  <c r="F7"/>
  <c r="U7"/>
  <c r="AB7"/>
  <c r="AA7"/>
  <c r="V8"/>
  <c r="AT8"/>
  <c r="AC9"/>
  <c r="Y9"/>
  <c r="F10"/>
  <c r="F12"/>
  <c r="AR12"/>
  <c r="H20"/>
  <c r="F20"/>
  <c r="V20"/>
  <c r="AT20"/>
  <c r="H21"/>
  <c r="U21"/>
  <c r="W21"/>
  <c r="Z21"/>
  <c r="AZ21"/>
  <c r="Z22"/>
  <c r="W23"/>
  <c r="AK30"/>
  <c r="W31"/>
  <c r="AZ31"/>
  <c r="AK6" i="33"/>
  <c r="AR6"/>
  <c r="F7"/>
  <c r="U7"/>
  <c r="AB7"/>
  <c r="AZ7"/>
  <c r="Z8"/>
  <c r="AT8"/>
  <c r="W9"/>
  <c r="AQ9"/>
  <c r="AK10"/>
  <c r="AR10"/>
  <c r="F11"/>
  <c r="U11"/>
  <c r="Y11"/>
  <c r="AB11"/>
  <c r="Z12"/>
  <c r="AT12"/>
  <c r="Z20"/>
  <c r="AT20"/>
  <c r="H21"/>
  <c r="H19" s="1"/>
  <c r="U21"/>
  <c r="AB21"/>
  <c r="AM21"/>
  <c r="AR22"/>
  <c r="AQ23"/>
  <c r="AK30"/>
  <c r="AR30"/>
  <c r="AQ31"/>
  <c r="F23" i="34"/>
  <c r="F25" i="30"/>
  <c r="AQ11" i="33"/>
  <c r="AP22"/>
  <c r="AP30"/>
  <c r="AC6" i="34"/>
  <c r="AM6"/>
  <c r="V7"/>
  <c r="AQ10"/>
  <c r="H20"/>
  <c r="U20"/>
  <c r="AZ20"/>
  <c r="H21"/>
  <c r="F21"/>
  <c r="V21"/>
  <c r="AN21"/>
  <c r="H22"/>
  <c r="U22"/>
  <c r="AB22"/>
  <c r="AM22"/>
  <c r="Z23"/>
  <c r="AK24"/>
  <c r="Y24"/>
  <c r="AL24"/>
  <c r="AS24"/>
  <c r="AQ24"/>
  <c r="W30"/>
  <c r="AB30"/>
  <c r="AA30"/>
  <c r="AM30"/>
  <c r="F29"/>
  <c r="AN31"/>
  <c r="Y7"/>
  <c r="I5"/>
  <c r="G7"/>
  <c r="X7"/>
  <c r="AN7"/>
  <c r="AT7"/>
  <c r="AZ7"/>
  <c r="AK31"/>
  <c r="AR31"/>
  <c r="AQ30"/>
  <c r="AZ24"/>
  <c r="U24"/>
  <c r="W24"/>
  <c r="AA24"/>
  <c r="AC24"/>
  <c r="AM24"/>
  <c r="AO24"/>
  <c r="Y23"/>
  <c r="AZ23"/>
  <c r="X23"/>
  <c r="AB23"/>
  <c r="AN23"/>
  <c r="AR23"/>
  <c r="AK10"/>
  <c r="AP10"/>
  <c r="F10"/>
  <c r="U10"/>
  <c r="Y10"/>
  <c r="AO10"/>
  <c r="AS10"/>
  <c r="AK6"/>
  <c r="AP6"/>
  <c r="F6"/>
  <c r="U6"/>
  <c r="Y6"/>
  <c r="AO6"/>
  <c r="AT6" i="32"/>
  <c r="W7"/>
  <c r="AZ7"/>
  <c r="AN8"/>
  <c r="F9"/>
  <c r="U9"/>
  <c r="AB9"/>
  <c r="AM9"/>
  <c r="AT10"/>
  <c r="AC11"/>
  <c r="AN12"/>
  <c r="AN20"/>
  <c r="Y21"/>
  <c r="AQ21"/>
  <c r="AN22"/>
  <c r="AZ23"/>
  <c r="V30"/>
  <c r="AT30"/>
  <c r="U31"/>
  <c r="AM31"/>
  <c r="G6" i="33"/>
  <c r="X6"/>
  <c r="AB6"/>
  <c r="AO7"/>
  <c r="AS7"/>
  <c r="Y8"/>
  <c r="AL8"/>
  <c r="AP8"/>
  <c r="AS8"/>
  <c r="AQ8"/>
  <c r="Z9"/>
  <c r="AP9"/>
  <c r="G10"/>
  <c r="X10"/>
  <c r="AB10"/>
  <c r="AO11"/>
  <c r="AS11"/>
  <c r="Y12"/>
  <c r="AL12"/>
  <c r="AP12"/>
  <c r="AS12"/>
  <c r="AQ12"/>
  <c r="Y20"/>
  <c r="AL20"/>
  <c r="AP20"/>
  <c r="AS20"/>
  <c r="AQ20"/>
  <c r="F23"/>
  <c r="Z23"/>
  <c r="AP23"/>
  <c r="Z31"/>
  <c r="AP31"/>
  <c r="Y20" i="34"/>
  <c r="AQ20"/>
  <c r="Z21"/>
  <c r="AO30"/>
  <c r="AS30"/>
  <c r="X31"/>
  <c r="AB31"/>
  <c r="Y6" i="33"/>
  <c r="AL6"/>
  <c r="AP6"/>
  <c r="AS6"/>
  <c r="AQ6"/>
  <c r="I5"/>
  <c r="F5"/>
  <c r="Z7"/>
  <c r="AP7"/>
  <c r="G8"/>
  <c r="X8"/>
  <c r="AB8"/>
  <c r="AO9"/>
  <c r="AS9"/>
  <c r="Y10"/>
  <c r="AL10"/>
  <c r="AP10"/>
  <c r="AS10"/>
  <c r="AQ10"/>
  <c r="Z11"/>
  <c r="AP11"/>
  <c r="G12"/>
  <c r="X12"/>
  <c r="AB12"/>
  <c r="X20"/>
  <c r="AB20"/>
  <c r="F21"/>
  <c r="F19" s="1"/>
  <c r="Z21"/>
  <c r="AZ21"/>
  <c r="AP21"/>
  <c r="AK22"/>
  <c r="Y22"/>
  <c r="AL22"/>
  <c r="AS22"/>
  <c r="AQ22"/>
  <c r="AO23"/>
  <c r="AS23"/>
  <c r="Y30"/>
  <c r="AL30"/>
  <c r="AS30"/>
  <c r="AQ30"/>
  <c r="AO31"/>
  <c r="AS31"/>
  <c r="X21" i="34"/>
  <c r="AL21"/>
  <c r="AT21"/>
  <c r="AQ22"/>
  <c r="AK30"/>
  <c r="AP30"/>
  <c r="Y31"/>
  <c r="AL31"/>
  <c r="AP31"/>
  <c r="AS31"/>
  <c r="AZ31"/>
  <c r="F22"/>
  <c r="AK22"/>
  <c r="AP22"/>
  <c r="W22"/>
  <c r="AA22"/>
  <c r="AO22"/>
  <c r="AS22"/>
  <c r="G19"/>
  <c r="AB21"/>
  <c r="H19"/>
  <c r="Y21"/>
  <c r="AS21"/>
  <c r="AZ21"/>
  <c r="W20"/>
  <c r="AO20"/>
  <c r="AS20"/>
  <c r="F20"/>
  <c r="F19" s="1"/>
  <c r="AK20"/>
  <c r="AP20"/>
  <c r="H5"/>
  <c r="G5"/>
  <c r="C48"/>
  <c r="D47" s="1"/>
  <c r="AQ6"/>
  <c r="AS6"/>
  <c r="AC8"/>
  <c r="AO8"/>
  <c r="AQ8"/>
  <c r="AS8"/>
  <c r="AB9"/>
  <c r="AT9"/>
  <c r="AZ9"/>
  <c r="AC12"/>
  <c r="V6"/>
  <c r="X6"/>
  <c r="Z6"/>
  <c r="AB6"/>
  <c r="AL6"/>
  <c r="AN6"/>
  <c r="AR6"/>
  <c r="AT6"/>
  <c r="U7"/>
  <c r="W7"/>
  <c r="AA7"/>
  <c r="AC7"/>
  <c r="AK7"/>
  <c r="AM7"/>
  <c r="AO7"/>
  <c r="AQ7"/>
  <c r="AS7"/>
  <c r="V8"/>
  <c r="X8"/>
  <c r="Z8"/>
  <c r="AL8"/>
  <c r="AN8"/>
  <c r="AR8"/>
  <c r="AT8"/>
  <c r="U9"/>
  <c r="W9"/>
  <c r="AA9"/>
  <c r="AC9"/>
  <c r="AM9"/>
  <c r="AO9"/>
  <c r="V10"/>
  <c r="X10"/>
  <c r="Z10"/>
  <c r="AB10"/>
  <c r="AL10"/>
  <c r="AN10"/>
  <c r="AR10"/>
  <c r="AT10"/>
  <c r="U11"/>
  <c r="W11"/>
  <c r="AA11"/>
  <c r="AC11"/>
  <c r="AM11"/>
  <c r="AO11"/>
  <c r="AQ11"/>
  <c r="AS11"/>
  <c r="V12"/>
  <c r="X12"/>
  <c r="Z12"/>
  <c r="AL12"/>
  <c r="AN12"/>
  <c r="AR12"/>
  <c r="AT12"/>
  <c r="AZ12"/>
  <c r="V20"/>
  <c r="X20"/>
  <c r="Z20"/>
  <c r="AL20"/>
  <c r="AN20"/>
  <c r="AR20"/>
  <c r="AT20"/>
  <c r="U21"/>
  <c r="W21"/>
  <c r="AA21"/>
  <c r="AC21"/>
  <c r="AM21"/>
  <c r="AO21"/>
  <c r="AQ21"/>
  <c r="V22"/>
  <c r="X22"/>
  <c r="Z22"/>
  <c r="AL22"/>
  <c r="AN22"/>
  <c r="AR22"/>
  <c r="AT22"/>
  <c r="U23"/>
  <c r="W23"/>
  <c r="AA23"/>
  <c r="AC23"/>
  <c r="AM23"/>
  <c r="AO23"/>
  <c r="AQ23"/>
  <c r="V30"/>
  <c r="X30"/>
  <c r="Z30"/>
  <c r="AL30"/>
  <c r="AN30"/>
  <c r="AR30"/>
  <c r="AT30"/>
  <c r="U31"/>
  <c r="W31"/>
  <c r="AA31"/>
  <c r="AC31"/>
  <c r="AM31"/>
  <c r="AO31"/>
  <c r="AQ31"/>
  <c r="Q49"/>
  <c r="O51"/>
  <c r="O52"/>
  <c r="O53"/>
  <c r="O54"/>
  <c r="O55"/>
  <c r="O59"/>
  <c r="O63"/>
  <c r="O64"/>
  <c r="O65"/>
  <c r="O66"/>
  <c r="Z7"/>
  <c r="AM12"/>
  <c r="AO12"/>
  <c r="AQ12"/>
  <c r="P51"/>
  <c r="P52"/>
  <c r="P53"/>
  <c r="P54"/>
  <c r="P55"/>
  <c r="P59"/>
  <c r="P63"/>
  <c r="P64"/>
  <c r="P65"/>
  <c r="P66"/>
  <c r="D47" i="33"/>
  <c r="P67"/>
  <c r="P66"/>
  <c r="P65"/>
  <c r="P64"/>
  <c r="P63"/>
  <c r="P59"/>
  <c r="P55"/>
  <c r="P54"/>
  <c r="P53"/>
  <c r="P52"/>
  <c r="P51"/>
  <c r="Q49"/>
  <c r="G5"/>
  <c r="AZ6"/>
  <c r="AK7"/>
  <c r="AZ8"/>
  <c r="AK9"/>
  <c r="AZ10"/>
  <c r="AK11"/>
  <c r="AZ12"/>
  <c r="AZ20"/>
  <c r="AK21"/>
  <c r="AZ22"/>
  <c r="AK23"/>
  <c r="AZ30"/>
  <c r="AK31"/>
  <c r="O51"/>
  <c r="O52"/>
  <c r="O53"/>
  <c r="O54"/>
  <c r="O55"/>
  <c r="O59"/>
  <c r="O63"/>
  <c r="O64"/>
  <c r="O65"/>
  <c r="O66"/>
  <c r="O67"/>
  <c r="U6"/>
  <c r="W6"/>
  <c r="AA6"/>
  <c r="AC6"/>
  <c r="AM6"/>
  <c r="AO6"/>
  <c r="V7"/>
  <c r="X7"/>
  <c r="AL7"/>
  <c r="AN7"/>
  <c r="AR7"/>
  <c r="AT7"/>
  <c r="U8"/>
  <c r="W8"/>
  <c r="AA8"/>
  <c r="AC8"/>
  <c r="AM8"/>
  <c r="AO8"/>
  <c r="V9"/>
  <c r="X9"/>
  <c r="AL9"/>
  <c r="AN9"/>
  <c r="AR9"/>
  <c r="AT9"/>
  <c r="U10"/>
  <c r="W10"/>
  <c r="AA10"/>
  <c r="AC10"/>
  <c r="AM10"/>
  <c r="AO10"/>
  <c r="V11"/>
  <c r="X11"/>
  <c r="AL11"/>
  <c r="AN11"/>
  <c r="AR11"/>
  <c r="AT11"/>
  <c r="U12"/>
  <c r="W12"/>
  <c r="AA12"/>
  <c r="AC12"/>
  <c r="AM12"/>
  <c r="AO12"/>
  <c r="U20"/>
  <c r="W20"/>
  <c r="AA20"/>
  <c r="AC20"/>
  <c r="AM20"/>
  <c r="AO20"/>
  <c r="V21"/>
  <c r="X21"/>
  <c r="AL21"/>
  <c r="AN21"/>
  <c r="AR21"/>
  <c r="AT21"/>
  <c r="U22"/>
  <c r="W22"/>
  <c r="AA22"/>
  <c r="AC22"/>
  <c r="AM22"/>
  <c r="AO22"/>
  <c r="V23"/>
  <c r="X23"/>
  <c r="AL23"/>
  <c r="AN23"/>
  <c r="AR23"/>
  <c r="AT23"/>
  <c r="U30"/>
  <c r="W30"/>
  <c r="AA30"/>
  <c r="AC30"/>
  <c r="AM30"/>
  <c r="AO30"/>
  <c r="V31"/>
  <c r="X31"/>
  <c r="AL31"/>
  <c r="AN31"/>
  <c r="AR31"/>
  <c r="AT31"/>
  <c r="AK12" i="32"/>
  <c r="AA11"/>
  <c r="AM11"/>
  <c r="AK20"/>
  <c r="AR20"/>
  <c r="AK8"/>
  <c r="AR8"/>
  <c r="AQ7"/>
  <c r="AK22"/>
  <c r="AR22"/>
  <c r="AQ23"/>
  <c r="AK10"/>
  <c r="AR10"/>
  <c r="AQ9"/>
  <c r="AK6"/>
  <c r="AR6"/>
  <c r="AO13"/>
  <c r="F11"/>
  <c r="U11"/>
  <c r="Y11"/>
  <c r="AB11"/>
  <c r="AZ11"/>
  <c r="Z12"/>
  <c r="AT12"/>
  <c r="AQ13"/>
  <c r="C48"/>
  <c r="D47" s="1"/>
  <c r="AC70"/>
  <c r="AG70"/>
  <c r="AC31"/>
  <c r="AQ31"/>
  <c r="Z30"/>
  <c r="AL30"/>
  <c r="AP30"/>
  <c r="AS30"/>
  <c r="G19"/>
  <c r="AK21"/>
  <c r="AO21"/>
  <c r="AS21"/>
  <c r="AL21"/>
  <c r="AN21"/>
  <c r="AP21"/>
  <c r="AR21"/>
  <c r="AT21"/>
  <c r="H19"/>
  <c r="Y6"/>
  <c r="AL6"/>
  <c r="AP6"/>
  <c r="AS6"/>
  <c r="AQ6"/>
  <c r="I5"/>
  <c r="F5"/>
  <c r="Z7"/>
  <c r="AP7"/>
  <c r="G8"/>
  <c r="X8"/>
  <c r="AB8"/>
  <c r="AO9"/>
  <c r="AS9"/>
  <c r="Y10"/>
  <c r="AL10"/>
  <c r="AP10"/>
  <c r="AS10"/>
  <c r="AQ10"/>
  <c r="Z11"/>
  <c r="AP11"/>
  <c r="G12"/>
  <c r="X12"/>
  <c r="AB12"/>
  <c r="AL14"/>
  <c r="AP14"/>
  <c r="AS14"/>
  <c r="Z15"/>
  <c r="AP15"/>
  <c r="G16"/>
  <c r="X16"/>
  <c r="AB16"/>
  <c r="X20"/>
  <c r="AB20"/>
  <c r="X22"/>
  <c r="AB22"/>
  <c r="F23"/>
  <c r="Z23"/>
  <c r="AP23"/>
  <c r="Y24"/>
  <c r="AL24"/>
  <c r="AP24"/>
  <c r="AS24"/>
  <c r="AQ24"/>
  <c r="AO25"/>
  <c r="AS25"/>
  <c r="X26"/>
  <c r="AB26"/>
  <c r="Y30"/>
  <c r="AQ30"/>
  <c r="AO31"/>
  <c r="AS31"/>
  <c r="AB32"/>
  <c r="G6"/>
  <c r="X6"/>
  <c r="AB6"/>
  <c r="AO7"/>
  <c r="AS7"/>
  <c r="Y8"/>
  <c r="AL8"/>
  <c r="AP8"/>
  <c r="AS8"/>
  <c r="AQ8"/>
  <c r="Z9"/>
  <c r="AP9"/>
  <c r="G10"/>
  <c r="X10"/>
  <c r="AB10"/>
  <c r="AO11"/>
  <c r="AS11"/>
  <c r="Y12"/>
  <c r="AL12"/>
  <c r="AP12"/>
  <c r="AS12"/>
  <c r="AQ12"/>
  <c r="G14"/>
  <c r="AO15"/>
  <c r="AS15"/>
  <c r="Y16"/>
  <c r="AL16"/>
  <c r="AP16"/>
  <c r="AS16"/>
  <c r="AQ16"/>
  <c r="Y20"/>
  <c r="AL20"/>
  <c r="AP20"/>
  <c r="AS20"/>
  <c r="AQ20"/>
  <c r="Y22"/>
  <c r="AL22"/>
  <c r="AP22"/>
  <c r="AS22"/>
  <c r="AQ22"/>
  <c r="AO23"/>
  <c r="AS23"/>
  <c r="X24"/>
  <c r="AB24"/>
  <c r="F25"/>
  <c r="Z25"/>
  <c r="AP25"/>
  <c r="Y26"/>
  <c r="AL26"/>
  <c r="AP26"/>
  <c r="AS26"/>
  <c r="AQ26"/>
  <c r="X30"/>
  <c r="AB30"/>
  <c r="Y31"/>
  <c r="AB31"/>
  <c r="Z31"/>
  <c r="AP31"/>
  <c r="Y32"/>
  <c r="AL32"/>
  <c r="AP32"/>
  <c r="AS32"/>
  <c r="AQ32"/>
  <c r="Z13"/>
  <c r="X13"/>
  <c r="V13"/>
  <c r="AK14"/>
  <c r="AC14"/>
  <c r="AA14"/>
  <c r="W14"/>
  <c r="U14"/>
  <c r="D46"/>
  <c r="P70"/>
  <c r="P69"/>
  <c r="P68"/>
  <c r="P67"/>
  <c r="P66"/>
  <c r="P65"/>
  <c r="P64"/>
  <c r="P63"/>
  <c r="P59"/>
  <c r="P56"/>
  <c r="P55"/>
  <c r="P54"/>
  <c r="P53"/>
  <c r="P52"/>
  <c r="P51"/>
  <c r="Q49"/>
  <c r="AZ13"/>
  <c r="AT13"/>
  <c r="AR13"/>
  <c r="AN13"/>
  <c r="AL13"/>
  <c r="AQ14"/>
  <c r="AO14"/>
  <c r="AM14"/>
  <c r="AZ6"/>
  <c r="AK7"/>
  <c r="AZ8"/>
  <c r="AK9"/>
  <c r="AZ10"/>
  <c r="AK11"/>
  <c r="AZ12"/>
  <c r="AK13"/>
  <c r="Y14"/>
  <c r="U6"/>
  <c r="W6"/>
  <c r="AA6"/>
  <c r="AC6"/>
  <c r="AM6"/>
  <c r="AO6"/>
  <c r="V7"/>
  <c r="X7"/>
  <c r="AL7"/>
  <c r="AN7"/>
  <c r="AR7"/>
  <c r="AT7"/>
  <c r="U8"/>
  <c r="W8"/>
  <c r="AA8"/>
  <c r="AC8"/>
  <c r="AM8"/>
  <c r="AO8"/>
  <c r="V9"/>
  <c r="X9"/>
  <c r="AL9"/>
  <c r="AN9"/>
  <c r="AR9"/>
  <c r="AT9"/>
  <c r="U10"/>
  <c r="W10"/>
  <c r="AA10"/>
  <c r="AC10"/>
  <c r="AM10"/>
  <c r="AO10"/>
  <c r="V11"/>
  <c r="X11"/>
  <c r="AL11"/>
  <c r="AN11"/>
  <c r="AR11"/>
  <c r="AT11"/>
  <c r="U12"/>
  <c r="W12"/>
  <c r="AA12"/>
  <c r="AC12"/>
  <c r="AM12"/>
  <c r="AO12"/>
  <c r="W13"/>
  <c r="AA13"/>
  <c r="AP13"/>
  <c r="X14"/>
  <c r="AB14"/>
  <c r="AZ14"/>
  <c r="AK15"/>
  <c r="AZ16"/>
  <c r="AZ20"/>
  <c r="AZ22"/>
  <c r="AK23"/>
  <c r="AZ24"/>
  <c r="AK25"/>
  <c r="AZ26"/>
  <c r="AZ30"/>
  <c r="AK31"/>
  <c r="AZ32"/>
  <c r="O51"/>
  <c r="O52"/>
  <c r="O53"/>
  <c r="O54"/>
  <c r="O55"/>
  <c r="O56"/>
  <c r="O59"/>
  <c r="O63"/>
  <c r="O64"/>
  <c r="O65"/>
  <c r="O66"/>
  <c r="O67"/>
  <c r="O68"/>
  <c r="O69"/>
  <c r="O70"/>
  <c r="V15"/>
  <c r="X15"/>
  <c r="AL15"/>
  <c r="AN15"/>
  <c r="AR15"/>
  <c r="AT15"/>
  <c r="U16"/>
  <c r="W16"/>
  <c r="AA16"/>
  <c r="AC16"/>
  <c r="AM16"/>
  <c r="AO16"/>
  <c r="U20"/>
  <c r="W20"/>
  <c r="AA20"/>
  <c r="AC20"/>
  <c r="AM20"/>
  <c r="AO20"/>
  <c r="U22"/>
  <c r="W22"/>
  <c r="AA22"/>
  <c r="AC22"/>
  <c r="AM22"/>
  <c r="AO22"/>
  <c r="V23"/>
  <c r="X23"/>
  <c r="AL23"/>
  <c r="AN23"/>
  <c r="AR23"/>
  <c r="AT23"/>
  <c r="U24"/>
  <c r="W24"/>
  <c r="AA24"/>
  <c r="AC24"/>
  <c r="AM24"/>
  <c r="AO24"/>
  <c r="V25"/>
  <c r="X25"/>
  <c r="AL25"/>
  <c r="AN25"/>
  <c r="AR25"/>
  <c r="AT25"/>
  <c r="U26"/>
  <c r="W26"/>
  <c r="AA26"/>
  <c r="AC26"/>
  <c r="AM26"/>
  <c r="AO26"/>
  <c r="U30"/>
  <c r="W30"/>
  <c r="AA30"/>
  <c r="AC30"/>
  <c r="AM30"/>
  <c r="AO30"/>
  <c r="V31"/>
  <c r="X31"/>
  <c r="AL31"/>
  <c r="AN31"/>
  <c r="AR31"/>
  <c r="AT31"/>
  <c r="U32"/>
  <c r="W32"/>
  <c r="AA32"/>
  <c r="AC32"/>
  <c r="AM32"/>
  <c r="AO32"/>
  <c r="AA25" i="30"/>
  <c r="Y15"/>
  <c r="Y16"/>
  <c r="AK24"/>
  <c r="X24"/>
  <c r="G15"/>
  <c r="AS15"/>
  <c r="AC70"/>
  <c r="AG70"/>
  <c r="X25"/>
  <c r="AQ24"/>
  <c r="U15"/>
  <c r="AM15"/>
  <c r="F16"/>
  <c r="U16"/>
  <c r="AC16"/>
  <c r="X16"/>
  <c r="V25"/>
  <c r="Z25"/>
  <c r="AZ25"/>
  <c r="V24"/>
  <c r="Z24"/>
  <c r="AM24"/>
  <c r="F15"/>
  <c r="AK15"/>
  <c r="AQ15"/>
  <c r="V16"/>
  <c r="Z16"/>
  <c r="AB16"/>
  <c r="AM16"/>
  <c r="Y24"/>
  <c r="AZ13"/>
  <c r="U25"/>
  <c r="W25"/>
  <c r="Y25"/>
  <c r="AQ25"/>
  <c r="H24"/>
  <c r="U24"/>
  <c r="W24"/>
  <c r="AA24"/>
  <c r="AZ24"/>
  <c r="W15"/>
  <c r="AA15"/>
  <c r="AQ16"/>
  <c r="AO25"/>
  <c r="X15"/>
  <c r="AO15"/>
  <c r="V15"/>
  <c r="Z15"/>
  <c r="AB15"/>
  <c r="AZ15"/>
  <c r="AK16"/>
  <c r="AO16"/>
  <c r="AS16"/>
  <c r="G13"/>
  <c r="AC24"/>
  <c r="AB24"/>
  <c r="AC15"/>
  <c r="AL16"/>
  <c r="AN16"/>
  <c r="AP16"/>
  <c r="AR16"/>
  <c r="AT16"/>
  <c r="AO13"/>
  <c r="AM13"/>
  <c r="Y13"/>
  <c r="U13"/>
  <c r="AK25"/>
  <c r="AS25"/>
  <c r="AO24"/>
  <c r="AS24"/>
  <c r="AL15"/>
  <c r="AN15"/>
  <c r="AP15"/>
  <c r="AR15"/>
  <c r="AT15"/>
  <c r="AT13"/>
  <c r="AR13"/>
  <c r="AP13"/>
  <c r="AN13"/>
  <c r="AL13"/>
  <c r="AB13"/>
  <c r="Z13"/>
  <c r="X13"/>
  <c r="V13"/>
  <c r="F13"/>
  <c r="AS13"/>
  <c r="AQ13"/>
  <c r="AC13"/>
  <c r="AA13"/>
  <c r="W13"/>
  <c r="AL25"/>
  <c r="AN25"/>
  <c r="AP25"/>
  <c r="AR25"/>
  <c r="AT25"/>
  <c r="AL24"/>
  <c r="AN24"/>
  <c r="AP24"/>
  <c r="AR24"/>
  <c r="AT24"/>
  <c r="AA32"/>
  <c r="U32"/>
  <c r="Y32"/>
  <c r="AZ32"/>
  <c r="W32"/>
  <c r="AC32"/>
  <c r="X32"/>
  <c r="V32"/>
  <c r="Z32"/>
  <c r="AB32"/>
  <c r="AM32"/>
  <c r="AQ32"/>
  <c r="AK32"/>
  <c r="AO32"/>
  <c r="AS32"/>
  <c r="AL32"/>
  <c r="AN32"/>
  <c r="AP32"/>
  <c r="AR32"/>
  <c r="AT32"/>
  <c r="AU79" i="5"/>
  <c r="AV79" s="1"/>
  <c r="AU85"/>
  <c r="AV85" s="1"/>
  <c r="AU78"/>
  <c r="AV78" s="1"/>
  <c r="AU76"/>
  <c r="AV76" s="1"/>
  <c r="BN90" i="6"/>
  <c r="BB50"/>
  <c r="BC50" s="1"/>
  <c r="BN78"/>
  <c r="BB73"/>
  <c r="BC73" s="1"/>
  <c r="CA78" i="5"/>
  <c r="C78"/>
  <c r="CA85"/>
  <c r="C85"/>
  <c r="D81"/>
  <c r="CA76"/>
  <c r="C76"/>
  <c r="D69"/>
  <c r="CA79"/>
  <c r="C79"/>
  <c r="D78"/>
  <c r="D85"/>
  <c r="C81"/>
  <c r="AU81"/>
  <c r="AV81" s="1"/>
  <c r="D76"/>
  <c r="C69"/>
  <c r="AU69"/>
  <c r="AV69" s="1"/>
  <c r="D79"/>
  <c r="CA81"/>
  <c r="CA69"/>
  <c r="BN76" i="6"/>
  <c r="BN69"/>
  <c r="BB77"/>
  <c r="BC77" s="1"/>
  <c r="BB66"/>
  <c r="BC66" s="1"/>
  <c r="BN77"/>
  <c r="BN73"/>
  <c r="BN66"/>
  <c r="BN50"/>
  <c r="BB90"/>
  <c r="BC90" s="1"/>
  <c r="BB76"/>
  <c r="BC76" s="1"/>
  <c r="BB78"/>
  <c r="BC78" s="1"/>
  <c r="BB69"/>
  <c r="BC69" s="1"/>
  <c r="F5" i="34" l="1"/>
  <c r="F71" i="30"/>
  <c r="G71"/>
  <c r="D46" i="34"/>
  <c r="R49"/>
  <c r="Q67"/>
  <c r="Q66"/>
  <c r="Q65"/>
  <c r="Q64"/>
  <c r="Q63"/>
  <c r="Q59"/>
  <c r="Q55"/>
  <c r="Q54"/>
  <c r="Q53"/>
  <c r="Q52"/>
  <c r="Q51"/>
  <c r="R49" i="33"/>
  <c r="Q67"/>
  <c r="Q66"/>
  <c r="Q65"/>
  <c r="Q64"/>
  <c r="Q63"/>
  <c r="Q59"/>
  <c r="Q55"/>
  <c r="Q54"/>
  <c r="Q53"/>
  <c r="Q52"/>
  <c r="Q51"/>
  <c r="H70" i="32"/>
  <c r="F70"/>
  <c r="G70"/>
  <c r="F19"/>
  <c r="G5"/>
  <c r="R49"/>
  <c r="Q70"/>
  <c r="Q69"/>
  <c r="Q68"/>
  <c r="Q67"/>
  <c r="Q66"/>
  <c r="Q65"/>
  <c r="Q64"/>
  <c r="Q63"/>
  <c r="Q59"/>
  <c r="Q56"/>
  <c r="Q55"/>
  <c r="Q54"/>
  <c r="Q53"/>
  <c r="Q52"/>
  <c r="Q51"/>
  <c r="G70" i="30"/>
  <c r="H70"/>
  <c r="F70"/>
  <c r="R67" i="34" l="1"/>
  <c r="R66"/>
  <c r="R65"/>
  <c r="R64"/>
  <c r="R63"/>
  <c r="R59"/>
  <c r="R55"/>
  <c r="R54"/>
  <c r="R53"/>
  <c r="R52"/>
  <c r="R51"/>
  <c r="S49"/>
  <c r="R67" i="33"/>
  <c r="R66"/>
  <c r="R65"/>
  <c r="R64"/>
  <c r="R63"/>
  <c r="R59"/>
  <c r="R55"/>
  <c r="R54"/>
  <c r="R53"/>
  <c r="R52"/>
  <c r="R51"/>
  <c r="S49"/>
  <c r="R70" i="32"/>
  <c r="R69"/>
  <c r="R68"/>
  <c r="R67"/>
  <c r="R66"/>
  <c r="R65"/>
  <c r="R64"/>
  <c r="R63"/>
  <c r="R59"/>
  <c r="R56"/>
  <c r="R55"/>
  <c r="R54"/>
  <c r="R53"/>
  <c r="R52"/>
  <c r="R51"/>
  <c r="S49"/>
  <c r="T49" i="34" l="1"/>
  <c r="S67"/>
  <c r="S66"/>
  <c r="S65"/>
  <c r="S64"/>
  <c r="S63"/>
  <c r="S59"/>
  <c r="S55"/>
  <c r="S54"/>
  <c r="S53"/>
  <c r="S52"/>
  <c r="S51"/>
  <c r="T49" i="33"/>
  <c r="S67"/>
  <c r="S66"/>
  <c r="S65"/>
  <c r="S64"/>
  <c r="S63"/>
  <c r="S59"/>
  <c r="S55"/>
  <c r="S54"/>
  <c r="S53"/>
  <c r="S52"/>
  <c r="S51"/>
  <c r="T49" i="32"/>
  <c r="S70"/>
  <c r="S69"/>
  <c r="S68"/>
  <c r="S67"/>
  <c r="S66"/>
  <c r="S65"/>
  <c r="S64"/>
  <c r="S63"/>
  <c r="S59"/>
  <c r="S56"/>
  <c r="S55"/>
  <c r="S54"/>
  <c r="S53"/>
  <c r="S52"/>
  <c r="S51"/>
  <c r="T67" i="34" l="1"/>
  <c r="T66"/>
  <c r="T65"/>
  <c r="T64"/>
  <c r="T63"/>
  <c r="T59"/>
  <c r="T55"/>
  <c r="T54"/>
  <c r="T53"/>
  <c r="T52"/>
  <c r="T51"/>
  <c r="U49"/>
  <c r="T67" i="33"/>
  <c r="T66"/>
  <c r="T65"/>
  <c r="T64"/>
  <c r="T63"/>
  <c r="T59"/>
  <c r="T55"/>
  <c r="T54"/>
  <c r="T53"/>
  <c r="T52"/>
  <c r="T51"/>
  <c r="U49"/>
  <c r="T70" i="32"/>
  <c r="T69"/>
  <c r="T68"/>
  <c r="T67"/>
  <c r="T66"/>
  <c r="T65"/>
  <c r="T64"/>
  <c r="T63"/>
  <c r="T59"/>
  <c r="T56"/>
  <c r="T55"/>
  <c r="T54"/>
  <c r="T53"/>
  <c r="T52"/>
  <c r="T51"/>
  <c r="U49"/>
  <c r="V49" i="34" l="1"/>
  <c r="U67"/>
  <c r="U66"/>
  <c r="U65"/>
  <c r="U64"/>
  <c r="U63"/>
  <c r="U59"/>
  <c r="U55"/>
  <c r="U54"/>
  <c r="U53"/>
  <c r="U52"/>
  <c r="U51"/>
  <c r="V49" i="33"/>
  <c r="U67"/>
  <c r="U66"/>
  <c r="U65"/>
  <c r="U64"/>
  <c r="U63"/>
  <c r="U59"/>
  <c r="U55"/>
  <c r="U54"/>
  <c r="U53"/>
  <c r="U52"/>
  <c r="U51"/>
  <c r="V49" i="32"/>
  <c r="U70"/>
  <c r="U69"/>
  <c r="U68"/>
  <c r="U67"/>
  <c r="U66"/>
  <c r="U65"/>
  <c r="U64"/>
  <c r="U63"/>
  <c r="U59"/>
  <c r="U56"/>
  <c r="U55"/>
  <c r="U54"/>
  <c r="U53"/>
  <c r="U52"/>
  <c r="U51"/>
  <c r="V67" i="34" l="1"/>
  <c r="V66"/>
  <c r="V65"/>
  <c r="V64"/>
  <c r="V63"/>
  <c r="V59"/>
  <c r="V55"/>
  <c r="V54"/>
  <c r="V53"/>
  <c r="V52"/>
  <c r="V51"/>
  <c r="W49"/>
  <c r="V67" i="33"/>
  <c r="V66"/>
  <c r="V65"/>
  <c r="V64"/>
  <c r="V63"/>
  <c r="V59"/>
  <c r="V55"/>
  <c r="V54"/>
  <c r="V53"/>
  <c r="V52"/>
  <c r="V51"/>
  <c r="W49"/>
  <c r="V70" i="32"/>
  <c r="V69"/>
  <c r="V68"/>
  <c r="V67"/>
  <c r="V66"/>
  <c r="V65"/>
  <c r="V64"/>
  <c r="V63"/>
  <c r="V59"/>
  <c r="V56"/>
  <c r="V55"/>
  <c r="V54"/>
  <c r="V53"/>
  <c r="V52"/>
  <c r="V51"/>
  <c r="W49"/>
  <c r="X49" i="34" l="1"/>
  <c r="W67"/>
  <c r="W66"/>
  <c r="W65"/>
  <c r="W64"/>
  <c r="W63"/>
  <c r="W59"/>
  <c r="W55"/>
  <c r="W54"/>
  <c r="W53"/>
  <c r="W52"/>
  <c r="W51"/>
  <c r="X49" i="33"/>
  <c r="W67"/>
  <c r="W66"/>
  <c r="W65"/>
  <c r="W64"/>
  <c r="W63"/>
  <c r="W59"/>
  <c r="W55"/>
  <c r="W54"/>
  <c r="W53"/>
  <c r="W52"/>
  <c r="W51"/>
  <c r="X49" i="32"/>
  <c r="W70"/>
  <c r="W69"/>
  <c r="W68"/>
  <c r="W67"/>
  <c r="W66"/>
  <c r="W65"/>
  <c r="W64"/>
  <c r="W63"/>
  <c r="W59"/>
  <c r="W56"/>
  <c r="W55"/>
  <c r="W54"/>
  <c r="W53"/>
  <c r="W52"/>
  <c r="W51"/>
  <c r="X67" i="34" l="1"/>
  <c r="X66"/>
  <c r="X65"/>
  <c r="X64"/>
  <c r="X63"/>
  <c r="X59"/>
  <c r="X55"/>
  <c r="X54"/>
  <c r="X53"/>
  <c r="X52"/>
  <c r="X51"/>
  <c r="Y49"/>
  <c r="X67" i="33"/>
  <c r="X66"/>
  <c r="X65"/>
  <c r="X64"/>
  <c r="X63"/>
  <c r="X59"/>
  <c r="X55"/>
  <c r="X54"/>
  <c r="X53"/>
  <c r="X52"/>
  <c r="X51"/>
  <c r="Y49"/>
  <c r="X70" i="32"/>
  <c r="X69"/>
  <c r="X68"/>
  <c r="X67"/>
  <c r="X66"/>
  <c r="X65"/>
  <c r="X64"/>
  <c r="X63"/>
  <c r="X59"/>
  <c r="X56"/>
  <c r="X55"/>
  <c r="X54"/>
  <c r="X53"/>
  <c r="X52"/>
  <c r="X51"/>
  <c r="Y49"/>
  <c r="Y67" i="34" l="1"/>
  <c r="J67" s="1"/>
  <c r="Y66"/>
  <c r="J66" s="1"/>
  <c r="Y65"/>
  <c r="J65" s="1"/>
  <c r="Y64"/>
  <c r="J64" s="1"/>
  <c r="Y63"/>
  <c r="J63" s="1"/>
  <c r="Y59"/>
  <c r="J59" s="1"/>
  <c r="Y55"/>
  <c r="J55" s="1"/>
  <c r="Y54"/>
  <c r="J54" s="1"/>
  <c r="Y53"/>
  <c r="J53" s="1"/>
  <c r="Y52"/>
  <c r="J52" s="1"/>
  <c r="Y51"/>
  <c r="J51" s="1"/>
  <c r="Y67" i="33"/>
  <c r="J67" s="1"/>
  <c r="Y66"/>
  <c r="J66" s="1"/>
  <c r="Y65"/>
  <c r="J65" s="1"/>
  <c r="Y64"/>
  <c r="J64" s="1"/>
  <c r="Y63"/>
  <c r="J63" s="1"/>
  <c r="Y59"/>
  <c r="J59" s="1"/>
  <c r="Y55"/>
  <c r="J55" s="1"/>
  <c r="Y54"/>
  <c r="J54" s="1"/>
  <c r="Y53"/>
  <c r="J53" s="1"/>
  <c r="Y52"/>
  <c r="J52" s="1"/>
  <c r="Y51"/>
  <c r="J51" s="1"/>
  <c r="Y70" i="32"/>
  <c r="J70" s="1"/>
  <c r="Y69"/>
  <c r="J69" s="1"/>
  <c r="Y68"/>
  <c r="J68" s="1"/>
  <c r="Y67"/>
  <c r="J67" s="1"/>
  <c r="Y66"/>
  <c r="J66" s="1"/>
  <c r="Y65"/>
  <c r="J65" s="1"/>
  <c r="Y64"/>
  <c r="J64" s="1"/>
  <c r="Y63"/>
  <c r="J63" s="1"/>
  <c r="Y59"/>
  <c r="J59" s="1"/>
  <c r="Y56"/>
  <c r="J56" s="1"/>
  <c r="Y55"/>
  <c r="J55" s="1"/>
  <c r="Y54"/>
  <c r="J54" s="1"/>
  <c r="Y53"/>
  <c r="J53" s="1"/>
  <c r="Y52"/>
  <c r="J52" s="1"/>
  <c r="Y51"/>
  <c r="J51" s="1"/>
  <c r="AX28" i="23" l="1"/>
  <c r="AY28" s="1"/>
  <c r="AZ28"/>
  <c r="BA28" s="1"/>
  <c r="BB28"/>
  <c r="BC28" s="1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AX13"/>
  <c r="AY13" s="1"/>
  <c r="AZ13"/>
  <c r="BA13" s="1"/>
  <c r="BB13"/>
  <c r="BC13" s="1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AX14"/>
  <c r="AY14" s="1"/>
  <c r="AZ14"/>
  <c r="BA14" s="1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AX15"/>
  <c r="AY15" s="1"/>
  <c r="AZ15"/>
  <c r="BA15" s="1"/>
  <c r="BB15"/>
  <c r="BC15" s="1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K15" s="1"/>
  <c r="CI15"/>
  <c r="CJ15"/>
  <c r="AX16"/>
  <c r="AY16" s="1"/>
  <c r="AZ16"/>
  <c r="BA16" s="1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AX17"/>
  <c r="AY17" s="1"/>
  <c r="AZ17"/>
  <c r="BA17" s="1"/>
  <c r="BB17"/>
  <c r="BC17" s="1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 s="1"/>
  <c r="AX18"/>
  <c r="AY18" s="1"/>
  <c r="AZ18"/>
  <c r="BA18" s="1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AX19"/>
  <c r="AY19" s="1"/>
  <c r="AZ19"/>
  <c r="BA19" s="1"/>
  <c r="BB19"/>
  <c r="BC19" s="1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28"/>
  <c r="C13"/>
  <c r="C14"/>
  <c r="C15"/>
  <c r="C16"/>
  <c r="C17"/>
  <c r="C18"/>
  <c r="C19"/>
  <c r="AQ80" i="22"/>
  <c r="AR80" s="1"/>
  <c r="AS80"/>
  <c r="AT80" s="1"/>
  <c r="AU80"/>
  <c r="AV80" s="1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CK80"/>
  <c r="CL80"/>
  <c r="CM80"/>
  <c r="CN80"/>
  <c r="CO80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CF81"/>
  <c r="CG81"/>
  <c r="CH81"/>
  <c r="CI81"/>
  <c r="CJ81"/>
  <c r="CK81"/>
  <c r="CL81"/>
  <c r="CM81"/>
  <c r="CN81"/>
  <c r="CO81"/>
  <c r="CP81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CB87"/>
  <c r="CC87"/>
  <c r="CD87"/>
  <c r="CE87"/>
  <c r="CF87"/>
  <c r="CG87"/>
  <c r="CH87"/>
  <c r="CI87"/>
  <c r="CJ87"/>
  <c r="CK87"/>
  <c r="CL87"/>
  <c r="CM87"/>
  <c r="CN87"/>
  <c r="CO87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H82"/>
  <c r="CI82"/>
  <c r="CJ82"/>
  <c r="CK82"/>
  <c r="CL82"/>
  <c r="CM82"/>
  <c r="CN82"/>
  <c r="CO82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CK75"/>
  <c r="CL75"/>
  <c r="CM75"/>
  <c r="CN75"/>
  <c r="CO75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80"/>
  <c r="D80"/>
  <c r="E80"/>
  <c r="C38"/>
  <c r="D38"/>
  <c r="E38"/>
  <c r="C81"/>
  <c r="D81"/>
  <c r="E81"/>
  <c r="C87"/>
  <c r="D87"/>
  <c r="E87"/>
  <c r="C16"/>
  <c r="D16"/>
  <c r="E16"/>
  <c r="C82"/>
  <c r="D82"/>
  <c r="E82"/>
  <c r="C33"/>
  <c r="D33"/>
  <c r="E33"/>
  <c r="C67"/>
  <c r="D67"/>
  <c r="E67"/>
  <c r="C75"/>
  <c r="D75"/>
  <c r="E75"/>
  <c r="C34"/>
  <c r="D34"/>
  <c r="E34"/>
  <c r="CP87" l="1"/>
  <c r="CP38"/>
  <c r="CR38"/>
  <c r="CK14" i="23"/>
  <c r="CK13"/>
  <c r="CK18"/>
  <c r="CP34" i="22"/>
  <c r="CP75"/>
  <c r="CP80"/>
  <c r="CS38"/>
  <c r="CR80"/>
  <c r="CR81"/>
  <c r="CQ87"/>
  <c r="CP67"/>
  <c r="CP82"/>
  <c r="CS81"/>
  <c r="CQ81"/>
  <c r="CQ80"/>
  <c r="CP33"/>
  <c r="CS87"/>
  <c r="CR87"/>
  <c r="CQ38"/>
  <c r="CS33"/>
  <c r="CS82"/>
  <c r="CR82"/>
  <c r="CS16"/>
  <c r="CQ33"/>
  <c r="CQ82"/>
  <c r="CR33"/>
  <c r="CS67"/>
  <c r="CQ67"/>
  <c r="CS80"/>
  <c r="BB18" i="23"/>
  <c r="BC18" s="1"/>
  <c r="BB16"/>
  <c r="BC16" s="1"/>
  <c r="BB14"/>
  <c r="BC14" s="1"/>
  <c r="CR75" i="22"/>
  <c r="CR67"/>
  <c r="CS34"/>
  <c r="CR34"/>
  <c r="CQ34"/>
  <c r="CT33"/>
  <c r="CT16"/>
  <c r="CT81"/>
  <c r="CT38"/>
  <c r="CS75"/>
  <c r="CQ75"/>
  <c r="CT87" l="1"/>
  <c r="CT80"/>
  <c r="CT82"/>
  <c r="CT67"/>
  <c r="CT34"/>
  <c r="CT75"/>
  <c r="F60" i="7" l="1"/>
  <c r="G60" s="1"/>
  <c r="H60" s="1"/>
  <c r="I60" s="1"/>
  <c r="J60" s="1"/>
  <c r="K60" s="1"/>
  <c r="L60" s="1"/>
  <c r="M60" s="1"/>
  <c r="N60" s="1"/>
  <c r="F59"/>
  <c r="G59" s="1"/>
  <c r="H59" s="1"/>
  <c r="I59" s="1"/>
  <c r="J59" s="1"/>
  <c r="K59" s="1"/>
  <c r="L59" s="1"/>
  <c r="M59" s="1"/>
  <c r="N59" s="1"/>
  <c r="E58" l="1"/>
  <c r="E61"/>
  <c r="D17" i="26"/>
  <c r="AX80" i="6"/>
  <c r="AY80" s="1"/>
  <c r="AZ80"/>
  <c r="BA80" s="1"/>
  <c r="BB80"/>
  <c r="BC80" s="1"/>
  <c r="BD80"/>
  <c r="BE80"/>
  <c r="BF80"/>
  <c r="BG80"/>
  <c r="BH80"/>
  <c r="BI80"/>
  <c r="BJ80"/>
  <c r="BK80"/>
  <c r="BL80"/>
  <c r="BM80"/>
  <c r="AX13"/>
  <c r="AZ13"/>
  <c r="BD13"/>
  <c r="BE13"/>
  <c r="BF13"/>
  <c r="BG13"/>
  <c r="BH13"/>
  <c r="BI13"/>
  <c r="BJ13"/>
  <c r="BK13"/>
  <c r="BL13"/>
  <c r="BM13"/>
  <c r="C13"/>
  <c r="C80"/>
  <c r="AY13" l="1"/>
  <c r="AC55" i="9"/>
  <c r="BA13" i="6"/>
  <c r="AG55" i="9"/>
  <c r="BN13" i="6"/>
  <c r="BN80"/>
  <c r="BB13"/>
  <c r="BC13" s="1"/>
  <c r="AX58" l="1"/>
  <c r="AZ58"/>
  <c r="BD58"/>
  <c r="BE58"/>
  <c r="BF58"/>
  <c r="BG58"/>
  <c r="BH58"/>
  <c r="BI58"/>
  <c r="BJ58"/>
  <c r="BK58"/>
  <c r="BL58"/>
  <c r="BM58"/>
  <c r="C58"/>
  <c r="AX44"/>
  <c r="AY44" s="1"/>
  <c r="AZ44"/>
  <c r="BA44" s="1"/>
  <c r="BD44"/>
  <c r="BE44"/>
  <c r="BF44"/>
  <c r="BG44"/>
  <c r="BH44"/>
  <c r="BI44"/>
  <c r="BJ44"/>
  <c r="BK44"/>
  <c r="BL44"/>
  <c r="BM44"/>
  <c r="AX57"/>
  <c r="AZ57"/>
  <c r="BD57"/>
  <c r="BE57"/>
  <c r="BF57"/>
  <c r="BG57"/>
  <c r="BH57"/>
  <c r="BI57"/>
  <c r="BJ57"/>
  <c r="BK57"/>
  <c r="BL57"/>
  <c r="BM57"/>
  <c r="C44"/>
  <c r="C57"/>
  <c r="E44" i="5"/>
  <c r="E40"/>
  <c r="E39"/>
  <c r="E30"/>
  <c r="E29"/>
  <c r="E25"/>
  <c r="E23"/>
  <c r="AQ44"/>
  <c r="AR44" s="1"/>
  <c r="AS44"/>
  <c r="AT44" s="1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B44"/>
  <c r="CC44"/>
  <c r="CD44"/>
  <c r="CE44"/>
  <c r="AQ40"/>
  <c r="AR40" s="1"/>
  <c r="AS40"/>
  <c r="AT40" s="1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B40"/>
  <c r="CC40"/>
  <c r="CD40"/>
  <c r="CE40"/>
  <c r="AQ39"/>
  <c r="AR39" s="1"/>
  <c r="AS39"/>
  <c r="AT39" s="1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B39"/>
  <c r="CC39"/>
  <c r="CD39"/>
  <c r="CE39"/>
  <c r="AQ30"/>
  <c r="AR30" s="1"/>
  <c r="AS30"/>
  <c r="AT30" s="1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B30"/>
  <c r="CC30"/>
  <c r="CD30"/>
  <c r="CE30"/>
  <c r="AQ29"/>
  <c r="AR29" s="1"/>
  <c r="AS29"/>
  <c r="AT29" s="1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B29"/>
  <c r="CC29"/>
  <c r="CD29"/>
  <c r="CE29"/>
  <c r="AQ25"/>
  <c r="AR25" s="1"/>
  <c r="AS25"/>
  <c r="AT25" s="1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B25"/>
  <c r="CC25"/>
  <c r="CD25"/>
  <c r="CE25"/>
  <c r="AQ23"/>
  <c r="AR23" s="1"/>
  <c r="AS23"/>
  <c r="AT23" s="1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B23"/>
  <c r="CC23"/>
  <c r="CD23"/>
  <c r="CE23"/>
  <c r="H63" i="7"/>
  <c r="G63"/>
  <c r="F63"/>
  <c r="B51"/>
  <c r="C51" s="1"/>
  <c r="D51" s="1"/>
  <c r="E51" s="1"/>
  <c r="F51" s="1"/>
  <c r="G51" s="1"/>
  <c r="H51" s="1"/>
  <c r="I51" s="1"/>
  <c r="J51" s="1"/>
  <c r="K51" s="1"/>
  <c r="L51" s="1"/>
  <c r="M51" s="1"/>
  <c r="N51" s="1"/>
  <c r="AX92" i="6"/>
  <c r="AY92" s="1"/>
  <c r="AZ92"/>
  <c r="BA92" s="1"/>
  <c r="BD92"/>
  <c r="BE92"/>
  <c r="BF92"/>
  <c r="BG92"/>
  <c r="BH92"/>
  <c r="BI92"/>
  <c r="BJ92"/>
  <c r="BK92"/>
  <c r="BL92"/>
  <c r="BM92"/>
  <c r="AX85"/>
  <c r="AY85" s="1"/>
  <c r="AZ85"/>
  <c r="BA85" s="1"/>
  <c r="BD85"/>
  <c r="BE85"/>
  <c r="BF85"/>
  <c r="BG85"/>
  <c r="BH85"/>
  <c r="BI85"/>
  <c r="BJ85"/>
  <c r="BK85"/>
  <c r="BL85"/>
  <c r="BM85"/>
  <c r="AX67"/>
  <c r="AZ67"/>
  <c r="BD67"/>
  <c r="BE67"/>
  <c r="BF67"/>
  <c r="BG67"/>
  <c r="BH67"/>
  <c r="BI67"/>
  <c r="BJ67"/>
  <c r="BK67"/>
  <c r="BL67"/>
  <c r="BM67"/>
  <c r="C92"/>
  <c r="C85"/>
  <c r="C67"/>
  <c r="AX74" i="23"/>
  <c r="AY74" s="1"/>
  <c r="AZ74"/>
  <c r="BA74" s="1"/>
  <c r="BB74"/>
  <c r="BC74" s="1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AX27"/>
  <c r="AY27" s="1"/>
  <c r="AZ27"/>
  <c r="BA27" s="1"/>
  <c r="BB27"/>
  <c r="BC27" s="1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AX75"/>
  <c r="AY75" s="1"/>
  <c r="AZ75"/>
  <c r="BA75" s="1"/>
  <c r="BB75"/>
  <c r="BC75" s="1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AX76"/>
  <c r="AY76" s="1"/>
  <c r="AZ76"/>
  <c r="BA76" s="1"/>
  <c r="BB76"/>
  <c r="BC76" s="1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CB76"/>
  <c r="CC76"/>
  <c r="CD76"/>
  <c r="CE76"/>
  <c r="CF76"/>
  <c r="CG76"/>
  <c r="CH76"/>
  <c r="CI76"/>
  <c r="CJ76"/>
  <c r="AX12"/>
  <c r="AY12" s="1"/>
  <c r="AZ12"/>
  <c r="BA12" s="1"/>
  <c r="BB12"/>
  <c r="BC12" s="1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74"/>
  <c r="C27"/>
  <c r="C75"/>
  <c r="C76"/>
  <c r="C12"/>
  <c r="AQ89" i="5"/>
  <c r="AR89" s="1"/>
  <c r="AS89"/>
  <c r="AT89" s="1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BV89"/>
  <c r="BW89"/>
  <c r="BX89"/>
  <c r="BY89"/>
  <c r="BZ89"/>
  <c r="CB89"/>
  <c r="CC89"/>
  <c r="CD89"/>
  <c r="CE89"/>
  <c r="AX19" i="6"/>
  <c r="AZ19"/>
  <c r="BD19"/>
  <c r="BE19"/>
  <c r="BF19"/>
  <c r="BG19"/>
  <c r="BH19"/>
  <c r="BI19"/>
  <c r="BJ19"/>
  <c r="BK19"/>
  <c r="BL19"/>
  <c r="BM19"/>
  <c r="C19"/>
  <c r="AX47"/>
  <c r="AY47" s="1"/>
  <c r="AZ47"/>
  <c r="BA47" s="1"/>
  <c r="BD47"/>
  <c r="BE47"/>
  <c r="BF47"/>
  <c r="BG47"/>
  <c r="BH47"/>
  <c r="BI47"/>
  <c r="BJ47"/>
  <c r="BK47"/>
  <c r="BL47"/>
  <c r="BM47"/>
  <c r="C47"/>
  <c r="AY58" l="1"/>
  <c r="BA58"/>
  <c r="BA19"/>
  <c r="AG65" i="9"/>
  <c r="AY19" i="6"/>
  <c r="AC65" i="9"/>
  <c r="AY67" i="6"/>
  <c r="AC59" i="30"/>
  <c r="BA57" i="6"/>
  <c r="AG64" i="30"/>
  <c r="BA67" i="6"/>
  <c r="AG59" i="30"/>
  <c r="AY57" i="6"/>
  <c r="AC64" i="30"/>
  <c r="D89" i="5"/>
  <c r="C89"/>
  <c r="AU44"/>
  <c r="AV44" s="1"/>
  <c r="BB44" i="6"/>
  <c r="BC44" s="1"/>
  <c r="BB58"/>
  <c r="BC58" s="1"/>
  <c r="BN58"/>
  <c r="AU30" i="5"/>
  <c r="AV30" s="1"/>
  <c r="AU25"/>
  <c r="AV25" s="1"/>
  <c r="AU40"/>
  <c r="AV40" s="1"/>
  <c r="BN57" i="6"/>
  <c r="D23" i="5"/>
  <c r="C25"/>
  <c r="D29"/>
  <c r="C30"/>
  <c r="D39"/>
  <c r="C40"/>
  <c r="D44"/>
  <c r="CA23"/>
  <c r="C23"/>
  <c r="AU23"/>
  <c r="AV23" s="1"/>
  <c r="D25"/>
  <c r="CA29"/>
  <c r="C29"/>
  <c r="AU29"/>
  <c r="AV29" s="1"/>
  <c r="D30"/>
  <c r="CA39"/>
  <c r="C39"/>
  <c r="AU39"/>
  <c r="AV39" s="1"/>
  <c r="D40"/>
  <c r="CA44"/>
  <c r="C44"/>
  <c r="BB19" i="6"/>
  <c r="BC19" s="1"/>
  <c r="BN44"/>
  <c r="BB92"/>
  <c r="BC92" s="1"/>
  <c r="BB57"/>
  <c r="BC57" s="1"/>
  <c r="CA25" i="5"/>
  <c r="CA30"/>
  <c r="CA40"/>
  <c r="BN85" i="6"/>
  <c r="BB67"/>
  <c r="BC67" s="1"/>
  <c r="BN67"/>
  <c r="BN92"/>
  <c r="BB85"/>
  <c r="BC85" s="1"/>
  <c r="CK12" i="23"/>
  <c r="CK76"/>
  <c r="CK75"/>
  <c r="CK27"/>
  <c r="CK74"/>
  <c r="BB47" i="6"/>
  <c r="BC47" s="1"/>
  <c r="CA89" i="5"/>
  <c r="AU89"/>
  <c r="AV89" s="1"/>
  <c r="BN19" i="6"/>
  <c r="BN47"/>
  <c r="H59" i="30" l="1"/>
  <c r="G59"/>
  <c r="F59"/>
  <c r="H64"/>
  <c r="F64"/>
  <c r="G64"/>
  <c r="AX34" i="6"/>
  <c r="AZ34"/>
  <c r="BD34"/>
  <c r="BE34"/>
  <c r="BF34"/>
  <c r="BG34"/>
  <c r="BH34"/>
  <c r="BI34"/>
  <c r="BJ34"/>
  <c r="BK34"/>
  <c r="BL34"/>
  <c r="BM34"/>
  <c r="C34"/>
  <c r="BA34" l="1"/>
  <c r="AG59" i="34"/>
  <c r="AY34" i="6"/>
  <c r="AC59" i="34"/>
  <c r="BB34" i="6"/>
  <c r="BC34" s="1"/>
  <c r="BN34"/>
  <c r="H59" i="34" l="1"/>
  <c r="F59"/>
  <c r="G59"/>
  <c r="E13" i="5"/>
  <c r="E20"/>
  <c r="E11"/>
  <c r="E16"/>
  <c r="E15"/>
  <c r="E24"/>
  <c r="E38"/>
  <c r="E14"/>
  <c r="E18"/>
  <c r="E61"/>
  <c r="E22"/>
  <c r="E21"/>
  <c r="E28"/>
  <c r="E27"/>
  <c r="E55"/>
  <c r="E34"/>
  <c r="E31"/>
  <c r="E50"/>
  <c r="E90"/>
  <c r="E46"/>
  <c r="E62"/>
  <c r="E54"/>
  <c r="E26"/>
  <c r="E32"/>
  <c r="E35"/>
  <c r="E43"/>
  <c r="E12"/>
  <c r="E19"/>
  <c r="E68"/>
  <c r="E42"/>
  <c r="E37"/>
  <c r="E70"/>
  <c r="E41"/>
  <c r="E33"/>
  <c r="E56"/>
  <c r="E57"/>
  <c r="E58"/>
  <c r="E51"/>
  <c r="E47"/>
  <c r="E36"/>
  <c r="E45"/>
  <c r="E49"/>
  <c r="E48"/>
  <c r="E60"/>
  <c r="E59"/>
  <c r="E63"/>
  <c r="AQ54"/>
  <c r="AR54" s="1"/>
  <c r="AS54"/>
  <c r="AT54" s="1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B54"/>
  <c r="CC54"/>
  <c r="CD54"/>
  <c r="CE54"/>
  <c r="AU54" l="1"/>
  <c r="AV54" s="1"/>
  <c r="C54"/>
  <c r="D54"/>
  <c r="CA54"/>
  <c r="O34" i="31" l="1"/>
  <c r="N34"/>
  <c r="M34"/>
  <c r="L34"/>
  <c r="K34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J59"/>
  <c r="F59"/>
  <c r="E59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J58"/>
  <c r="F58"/>
  <c r="E58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J57"/>
  <c r="F57"/>
  <c r="E57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J56"/>
  <c r="F56"/>
  <c r="E56"/>
  <c r="AC55"/>
  <c r="AB55"/>
  <c r="AA55"/>
  <c r="O55"/>
  <c r="N55"/>
  <c r="M55"/>
  <c r="L55"/>
  <c r="J55"/>
  <c r="F55"/>
  <c r="E55"/>
  <c r="AC54"/>
  <c r="AB54"/>
  <c r="AA54"/>
  <c r="O54"/>
  <c r="N54"/>
  <c r="M54"/>
  <c r="L54"/>
  <c r="J54"/>
  <c r="F54"/>
  <c r="E54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AC50"/>
  <c r="AB50"/>
  <c r="AA50"/>
  <c r="O50"/>
  <c r="N50"/>
  <c r="M50"/>
  <c r="L50"/>
  <c r="J50"/>
  <c r="F50"/>
  <c r="E50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J47"/>
  <c r="F47"/>
  <c r="E47"/>
  <c r="AC46"/>
  <c r="AB46"/>
  <c r="AA46"/>
  <c r="O46"/>
  <c r="N46"/>
  <c r="M46"/>
  <c r="L46"/>
  <c r="J46"/>
  <c r="F46"/>
  <c r="E46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J45"/>
  <c r="F45"/>
  <c r="E45"/>
  <c r="AC44"/>
  <c r="AB44"/>
  <c r="AA44"/>
  <c r="O44"/>
  <c r="N44"/>
  <c r="M44"/>
  <c r="L44"/>
  <c r="J44"/>
  <c r="I44"/>
  <c r="H44"/>
  <c r="G44"/>
  <c r="F44"/>
  <c r="E44"/>
  <c r="AC43"/>
  <c r="AB43"/>
  <c r="AA43"/>
  <c r="O43"/>
  <c r="N43"/>
  <c r="M43"/>
  <c r="L43"/>
  <c r="J43"/>
  <c r="F43"/>
  <c r="E43"/>
  <c r="AC42"/>
  <c r="AB42"/>
  <c r="AA42"/>
  <c r="O42"/>
  <c r="N42"/>
  <c r="M42"/>
  <c r="L42"/>
  <c r="J42"/>
  <c r="F42"/>
  <c r="E42"/>
  <c r="P40"/>
  <c r="P55" s="1"/>
  <c r="D38"/>
  <c r="D37"/>
  <c r="S34"/>
  <c r="R34"/>
  <c r="Q34"/>
  <c r="P34"/>
  <c r="I34"/>
  <c r="H34"/>
  <c r="G34"/>
  <c r="F34"/>
  <c r="S33"/>
  <c r="R33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AZ23"/>
  <c r="AY23"/>
  <c r="AX23"/>
  <c r="AW23"/>
  <c r="AV23"/>
  <c r="AK23"/>
  <c r="AJ23"/>
  <c r="AI23"/>
  <c r="AH23"/>
  <c r="AG23"/>
  <c r="AF23"/>
  <c r="AE23"/>
  <c r="U23"/>
  <c r="T23"/>
  <c r="S23"/>
  <c r="R23"/>
  <c r="Q23"/>
  <c r="P23"/>
  <c r="O23"/>
  <c r="N23"/>
  <c r="M23"/>
  <c r="L23"/>
  <c r="K23"/>
  <c r="G23" s="1"/>
  <c r="J23"/>
  <c r="I23"/>
  <c r="H23"/>
  <c r="F23"/>
  <c r="E23"/>
  <c r="AZ22"/>
  <c r="AY22"/>
  <c r="AX22"/>
  <c r="AW22"/>
  <c r="AV22"/>
  <c r="BA22" s="1"/>
  <c r="AK22"/>
  <c r="AJ22"/>
  <c r="AI22"/>
  <c r="AH22"/>
  <c r="AG22"/>
  <c r="AF22"/>
  <c r="AE22"/>
  <c r="U22"/>
  <c r="T22"/>
  <c r="S22"/>
  <c r="R22"/>
  <c r="Q22"/>
  <c r="P22"/>
  <c r="O22"/>
  <c r="N22"/>
  <c r="M22"/>
  <c r="L22"/>
  <c r="K22"/>
  <c r="J22"/>
  <c r="I22"/>
  <c r="H22"/>
  <c r="G22"/>
  <c r="F22"/>
  <c r="E22"/>
  <c r="D21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AZ18"/>
  <c r="AY18"/>
  <c r="AX18"/>
  <c r="AW18"/>
  <c r="AV18"/>
  <c r="BA18" s="1"/>
  <c r="AT18"/>
  <c r="AR18"/>
  <c r="AP18"/>
  <c r="AN18"/>
  <c r="AK18"/>
  <c r="AJ18"/>
  <c r="AI18"/>
  <c r="AH18"/>
  <c r="AG18"/>
  <c r="AF18"/>
  <c r="AE18"/>
  <c r="U18"/>
  <c r="T18"/>
  <c r="S18"/>
  <c r="R18"/>
  <c r="Q18"/>
  <c r="P18"/>
  <c r="O18"/>
  <c r="N18"/>
  <c r="M18"/>
  <c r="L18"/>
  <c r="I18" s="1"/>
  <c r="K18"/>
  <c r="J18"/>
  <c r="H18"/>
  <c r="G18"/>
  <c r="F18"/>
  <c r="E18"/>
  <c r="AZ17"/>
  <c r="AY17"/>
  <c r="AX17"/>
  <c r="AW17"/>
  <c r="AT17" s="1"/>
  <c r="AV17"/>
  <c r="BA17" s="1"/>
  <c r="AU17"/>
  <c r="AS17"/>
  <c r="AR17"/>
  <c r="AQ17"/>
  <c r="AP17"/>
  <c r="AO17"/>
  <c r="AN17"/>
  <c r="AK17"/>
  <c r="AJ17"/>
  <c r="AM17" s="1"/>
  <c r="AI17"/>
  <c r="AH17"/>
  <c r="AG17"/>
  <c r="AF17"/>
  <c r="AE17"/>
  <c r="Y17"/>
  <c r="W17"/>
  <c r="U17"/>
  <c r="T17"/>
  <c r="S17"/>
  <c r="R17"/>
  <c r="Q17"/>
  <c r="P17"/>
  <c r="O17"/>
  <c r="N17"/>
  <c r="M17"/>
  <c r="L17"/>
  <c r="K17"/>
  <c r="J17"/>
  <c r="I17"/>
  <c r="H17"/>
  <c r="G17"/>
  <c r="F17"/>
  <c r="E17"/>
  <c r="AZ16"/>
  <c r="AY16"/>
  <c r="AX16"/>
  <c r="AQ16" s="1"/>
  <c r="AW16"/>
  <c r="AV16"/>
  <c r="BA16" s="1"/>
  <c r="AT16"/>
  <c r="AR16"/>
  <c r="AP16"/>
  <c r="AN16"/>
  <c r="AK16"/>
  <c r="AJ16"/>
  <c r="AI16"/>
  <c r="AH16"/>
  <c r="AG16"/>
  <c r="AF16"/>
  <c r="AE16"/>
  <c r="U16"/>
  <c r="T16"/>
  <c r="S16"/>
  <c r="R16"/>
  <c r="Q16"/>
  <c r="P16"/>
  <c r="G16" s="1"/>
  <c r="O16"/>
  <c r="N16"/>
  <c r="M16"/>
  <c r="L16"/>
  <c r="I16" s="1"/>
  <c r="K16"/>
  <c r="J16"/>
  <c r="H16"/>
  <c r="F16"/>
  <c r="E16"/>
  <c r="AZ15"/>
  <c r="AY15"/>
  <c r="AX15"/>
  <c r="AW15"/>
  <c r="AV15"/>
  <c r="AK15"/>
  <c r="AJ15"/>
  <c r="AI15"/>
  <c r="AH15"/>
  <c r="AG15"/>
  <c r="AF15"/>
  <c r="AE15"/>
  <c r="U15"/>
  <c r="T15"/>
  <c r="S15"/>
  <c r="R15"/>
  <c r="H15" s="1"/>
  <c r="Q15"/>
  <c r="P15"/>
  <c r="O15"/>
  <c r="N15"/>
  <c r="M15"/>
  <c r="L15"/>
  <c r="K15"/>
  <c r="J15"/>
  <c r="F15"/>
  <c r="E15"/>
  <c r="AZ14"/>
  <c r="AY14"/>
  <c r="AX14"/>
  <c r="AQ14" s="1"/>
  <c r="AW14"/>
  <c r="AV14"/>
  <c r="BA14" s="1"/>
  <c r="AT14"/>
  <c r="AR14"/>
  <c r="AP14"/>
  <c r="AN14"/>
  <c r="AK14"/>
  <c r="AJ14"/>
  <c r="AI14"/>
  <c r="AH14"/>
  <c r="AG14"/>
  <c r="AF14"/>
  <c r="AE14"/>
  <c r="Z14" s="1"/>
  <c r="V14"/>
  <c r="U14"/>
  <c r="T14"/>
  <c r="S14"/>
  <c r="R14"/>
  <c r="Q14"/>
  <c r="P14"/>
  <c r="G14" s="1"/>
  <c r="O14"/>
  <c r="N14"/>
  <c r="M14"/>
  <c r="L14"/>
  <c r="I14" s="1"/>
  <c r="K14"/>
  <c r="J14"/>
  <c r="H14"/>
  <c r="F14"/>
  <c r="E14"/>
  <c r="D13"/>
  <c r="P35" s="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AZ10"/>
  <c r="AY10"/>
  <c r="AX10"/>
  <c r="AW10"/>
  <c r="AV10"/>
  <c r="AK10"/>
  <c r="AJ10"/>
  <c r="AI10"/>
  <c r="AH10"/>
  <c r="AG10"/>
  <c r="AF10"/>
  <c r="AE10"/>
  <c r="U10"/>
  <c r="T10"/>
  <c r="S10"/>
  <c r="R10"/>
  <c r="Q10"/>
  <c r="P10"/>
  <c r="O10"/>
  <c r="N10"/>
  <c r="M10"/>
  <c r="L10"/>
  <c r="K10"/>
  <c r="J10"/>
  <c r="I10"/>
  <c r="F10"/>
  <c r="E10"/>
  <c r="AZ9"/>
  <c r="AY9"/>
  <c r="AR9" s="1"/>
  <c r="AX9"/>
  <c r="AW9"/>
  <c r="AT9" s="1"/>
  <c r="AV9"/>
  <c r="AU9"/>
  <c r="AS9"/>
  <c r="AQ9"/>
  <c r="AO9"/>
  <c r="AK9"/>
  <c r="AM9" s="1"/>
  <c r="AJ9"/>
  <c r="AI9"/>
  <c r="AH9"/>
  <c r="AG9"/>
  <c r="AF9"/>
  <c r="AE9"/>
  <c r="W9" s="1"/>
  <c r="U9"/>
  <c r="T9"/>
  <c r="S9"/>
  <c r="R9"/>
  <c r="Q9"/>
  <c r="P9"/>
  <c r="O9"/>
  <c r="H9" s="1"/>
  <c r="N9"/>
  <c r="M9"/>
  <c r="L9"/>
  <c r="K9"/>
  <c r="J9"/>
  <c r="I9"/>
  <c r="G9"/>
  <c r="F9"/>
  <c r="E9"/>
  <c r="AZ8"/>
  <c r="AY8"/>
  <c r="AX8"/>
  <c r="AQ8" s="1"/>
  <c r="AW8"/>
  <c r="AV8"/>
  <c r="BA8" s="1"/>
  <c r="AT8"/>
  <c r="AR8"/>
  <c r="AP8"/>
  <c r="AN8"/>
  <c r="AK8"/>
  <c r="AJ8"/>
  <c r="AI8"/>
  <c r="AH8"/>
  <c r="AG8"/>
  <c r="AF8"/>
  <c r="AE8"/>
  <c r="AD8" s="1"/>
  <c r="U8"/>
  <c r="T8"/>
  <c r="S8"/>
  <c r="R8"/>
  <c r="Q8"/>
  <c r="P8"/>
  <c r="O8"/>
  <c r="N8"/>
  <c r="G8" s="1"/>
  <c r="M8"/>
  <c r="L8"/>
  <c r="K8"/>
  <c r="J8"/>
  <c r="I8"/>
  <c r="H8"/>
  <c r="F8"/>
  <c r="E8"/>
  <c r="AZ7"/>
  <c r="AY7"/>
  <c r="AX7"/>
  <c r="AW7"/>
  <c r="AV7"/>
  <c r="AQ7" s="1"/>
  <c r="AK7"/>
  <c r="Q33" s="1"/>
  <c r="AJ7"/>
  <c r="P33" s="1"/>
  <c r="AI7"/>
  <c r="AH7"/>
  <c r="AG7"/>
  <c r="AF7"/>
  <c r="AE7"/>
  <c r="U7"/>
  <c r="T7"/>
  <c r="S7"/>
  <c r="R7"/>
  <c r="Q7"/>
  <c r="P7"/>
  <c r="O7"/>
  <c r="N7"/>
  <c r="M7"/>
  <c r="L7"/>
  <c r="K7"/>
  <c r="J7"/>
  <c r="I7"/>
  <c r="G7"/>
  <c r="F7"/>
  <c r="F33" s="1"/>
  <c r="E7"/>
  <c r="AZ6"/>
  <c r="AY6"/>
  <c r="AX6"/>
  <c r="AW6"/>
  <c r="AV6"/>
  <c r="AK6"/>
  <c r="AJ6"/>
  <c r="AI6"/>
  <c r="AH6"/>
  <c r="AG6"/>
  <c r="AF6"/>
  <c r="AE6"/>
  <c r="U6"/>
  <c r="T6"/>
  <c r="S6"/>
  <c r="R6"/>
  <c r="Q6"/>
  <c r="P6"/>
  <c r="O6"/>
  <c r="N6"/>
  <c r="M6"/>
  <c r="L6"/>
  <c r="K6"/>
  <c r="J6"/>
  <c r="I6"/>
  <c r="F6"/>
  <c r="E6"/>
  <c r="AZ5"/>
  <c r="AY5"/>
  <c r="AX5"/>
  <c r="AW5"/>
  <c r="AV5"/>
  <c r="AU5" s="1"/>
  <c r="AS5"/>
  <c r="AO5"/>
  <c r="AK5"/>
  <c r="AJ5"/>
  <c r="AI5"/>
  <c r="AH5"/>
  <c r="AG5"/>
  <c r="AF5"/>
  <c r="AE5"/>
  <c r="AA5" s="1"/>
  <c r="W5"/>
  <c r="U5"/>
  <c r="T5"/>
  <c r="S5"/>
  <c r="R5"/>
  <c r="Q5"/>
  <c r="P5"/>
  <c r="O5"/>
  <c r="N5"/>
  <c r="M5"/>
  <c r="L5"/>
  <c r="K5"/>
  <c r="J5"/>
  <c r="I5"/>
  <c r="G5"/>
  <c r="F5"/>
  <c r="E5"/>
  <c r="AZ4"/>
  <c r="AY4"/>
  <c r="AX4"/>
  <c r="AW4"/>
  <c r="AV4"/>
  <c r="AK4"/>
  <c r="Q32" s="1"/>
  <c r="AJ4"/>
  <c r="P32" s="1"/>
  <c r="AI4"/>
  <c r="AH4"/>
  <c r="AG4"/>
  <c r="AF4"/>
  <c r="AE4"/>
  <c r="U4"/>
  <c r="T4"/>
  <c r="S4"/>
  <c r="R4"/>
  <c r="Q4"/>
  <c r="P4"/>
  <c r="O4"/>
  <c r="N4"/>
  <c r="M4"/>
  <c r="L4"/>
  <c r="K4"/>
  <c r="J4"/>
  <c r="I4"/>
  <c r="F4"/>
  <c r="F32" s="1"/>
  <c r="E4"/>
  <c r="AZ3"/>
  <c r="AY3"/>
  <c r="AX3"/>
  <c r="AW3"/>
  <c r="AV3"/>
  <c r="AK3"/>
  <c r="Q30" s="1"/>
  <c r="AJ3"/>
  <c r="P30" s="1"/>
  <c r="AI3"/>
  <c r="AH3"/>
  <c r="AG3"/>
  <c r="AF3"/>
  <c r="AE3"/>
  <c r="U3"/>
  <c r="T3"/>
  <c r="S3"/>
  <c r="R3"/>
  <c r="Q3"/>
  <c r="P3"/>
  <c r="O3"/>
  <c r="N3"/>
  <c r="M3"/>
  <c r="I3" s="1"/>
  <c r="L3"/>
  <c r="K3"/>
  <c r="J3"/>
  <c r="F3"/>
  <c r="F30" s="1"/>
  <c r="E3"/>
  <c r="D2"/>
  <c r="R35" s="1"/>
  <c r="X29" s="1"/>
  <c r="I15" l="1"/>
  <c r="Y23"/>
  <c r="G21"/>
  <c r="BA23"/>
  <c r="Q27"/>
  <c r="F27"/>
  <c r="AB10"/>
  <c r="X15"/>
  <c r="AD23"/>
  <c r="W23"/>
  <c r="AA23"/>
  <c r="AP23"/>
  <c r="Z23"/>
  <c r="V23"/>
  <c r="X23"/>
  <c r="AC23"/>
  <c r="AB23"/>
  <c r="AM23"/>
  <c r="AN23"/>
  <c r="AR23"/>
  <c r="AL23"/>
  <c r="AT23"/>
  <c r="AO23"/>
  <c r="AQ23"/>
  <c r="AS23"/>
  <c r="AU23"/>
  <c r="AR6"/>
  <c r="BA15"/>
  <c r="H10"/>
  <c r="BA10"/>
  <c r="AB15"/>
  <c r="I2"/>
  <c r="P27"/>
  <c r="AB6"/>
  <c r="I46"/>
  <c r="I59"/>
  <c r="K59"/>
  <c r="G55"/>
  <c r="H59"/>
  <c r="H47"/>
  <c r="I57"/>
  <c r="K57"/>
  <c r="H58"/>
  <c r="G59"/>
  <c r="H46"/>
  <c r="H56"/>
  <c r="H45"/>
  <c r="I56"/>
  <c r="G57"/>
  <c r="I47"/>
  <c r="I42"/>
  <c r="H57"/>
  <c r="H54"/>
  <c r="I45"/>
  <c r="K45"/>
  <c r="G46"/>
  <c r="K47"/>
  <c r="K56"/>
  <c r="I58"/>
  <c r="K58"/>
  <c r="H42"/>
  <c r="G45"/>
  <c r="G47"/>
  <c r="G56"/>
  <c r="G58"/>
  <c r="G10"/>
  <c r="AN10"/>
  <c r="BA4"/>
  <c r="AR10"/>
  <c r="AP10"/>
  <c r="AT10"/>
  <c r="AQ10"/>
  <c r="H5"/>
  <c r="AQ5"/>
  <c r="AT5"/>
  <c r="AR5"/>
  <c r="G15"/>
  <c r="G13" s="1"/>
  <c r="G3"/>
  <c r="H6"/>
  <c r="AA7"/>
  <c r="AU7"/>
  <c r="Z15"/>
  <c r="G31" s="1"/>
  <c r="AO15"/>
  <c r="H4"/>
  <c r="AN4"/>
  <c r="V15"/>
  <c r="AL15"/>
  <c r="Y15"/>
  <c r="AR15"/>
  <c r="AN6"/>
  <c r="AP15"/>
  <c r="AM22"/>
  <c r="AN22"/>
  <c r="G50"/>
  <c r="I54"/>
  <c r="AU3"/>
  <c r="AR4"/>
  <c r="F29"/>
  <c r="V6"/>
  <c r="P29"/>
  <c r="BA6"/>
  <c r="AO7"/>
  <c r="AS7"/>
  <c r="W15"/>
  <c r="AA15"/>
  <c r="AD15"/>
  <c r="AC15"/>
  <c r="AM15"/>
  <c r="AN15"/>
  <c r="AT15"/>
  <c r="AR22"/>
  <c r="Q29"/>
  <c r="H13"/>
  <c r="AQ15"/>
  <c r="AS15"/>
  <c r="AU15"/>
  <c r="AT7"/>
  <c r="AR7"/>
  <c r="H7"/>
  <c r="AP22"/>
  <c r="AT22"/>
  <c r="AQ4"/>
  <c r="G4"/>
  <c r="AP4"/>
  <c r="AT4"/>
  <c r="G6"/>
  <c r="AP6"/>
  <c r="AT6"/>
  <c r="AQ6"/>
  <c r="AQ3"/>
  <c r="AO3"/>
  <c r="AS3"/>
  <c r="G42"/>
  <c r="I43"/>
  <c r="I55"/>
  <c r="I50"/>
  <c r="G43"/>
  <c r="H50"/>
  <c r="G54"/>
  <c r="H55"/>
  <c r="H43"/>
  <c r="D39"/>
  <c r="H3"/>
  <c r="AT3"/>
  <c r="AR3"/>
  <c r="K27"/>
  <c r="M27"/>
  <c r="O27"/>
  <c r="L28"/>
  <c r="N28"/>
  <c r="K29"/>
  <c r="M29"/>
  <c r="O29"/>
  <c r="L30"/>
  <c r="N30"/>
  <c r="K31"/>
  <c r="M31"/>
  <c r="O31"/>
  <c r="L32"/>
  <c r="N32"/>
  <c r="K33"/>
  <c r="M33"/>
  <c r="O33"/>
  <c r="K35"/>
  <c r="M35"/>
  <c r="O35"/>
  <c r="L27"/>
  <c r="N27"/>
  <c r="K28"/>
  <c r="M28"/>
  <c r="O28"/>
  <c r="L29"/>
  <c r="N29"/>
  <c r="K30"/>
  <c r="M30"/>
  <c r="O30"/>
  <c r="L31"/>
  <c r="N31"/>
  <c r="K32"/>
  <c r="M32"/>
  <c r="O32"/>
  <c r="L33"/>
  <c r="N33"/>
  <c r="L35"/>
  <c r="N35"/>
  <c r="J2"/>
  <c r="AB8"/>
  <c r="AC17"/>
  <c r="V18"/>
  <c r="V22"/>
  <c r="Y3"/>
  <c r="AB4"/>
  <c r="AB14"/>
  <c r="X16"/>
  <c r="Z18"/>
  <c r="Z22"/>
  <c r="X14"/>
  <c r="X4"/>
  <c r="X8"/>
  <c r="Z10"/>
  <c r="AA17"/>
  <c r="W3"/>
  <c r="AD14"/>
  <c r="AL17"/>
  <c r="X10"/>
  <c r="X6"/>
  <c r="AD6"/>
  <c r="W7"/>
  <c r="AL7"/>
  <c r="I33" s="1"/>
  <c r="AC7"/>
  <c r="AL9"/>
  <c r="AA9"/>
  <c r="V10"/>
  <c r="AD10"/>
  <c r="AB16"/>
  <c r="AB18"/>
  <c r="AB22"/>
  <c r="Z6"/>
  <c r="Y7"/>
  <c r="AC10"/>
  <c r="AA10"/>
  <c r="AC14"/>
  <c r="AA14"/>
  <c r="X18"/>
  <c r="X22"/>
  <c r="AL5"/>
  <c r="AD16"/>
  <c r="AL18"/>
  <c r="AL22"/>
  <c r="Z5"/>
  <c r="Z9"/>
  <c r="V4"/>
  <c r="Z4"/>
  <c r="AD4"/>
  <c r="AC4"/>
  <c r="AA4"/>
  <c r="Y5"/>
  <c r="AC5"/>
  <c r="Z7"/>
  <c r="V8"/>
  <c r="Z8"/>
  <c r="AC8"/>
  <c r="AA8"/>
  <c r="Y9"/>
  <c r="AC9"/>
  <c r="V16"/>
  <c r="Z16"/>
  <c r="AC16"/>
  <c r="AA16"/>
  <c r="Z17"/>
  <c r="W18"/>
  <c r="Y18"/>
  <c r="AA18"/>
  <c r="AD18"/>
  <c r="AC18"/>
  <c r="W22"/>
  <c r="Y22"/>
  <c r="AA22"/>
  <c r="AD22"/>
  <c r="AC22"/>
  <c r="I13"/>
  <c r="AM3"/>
  <c r="BA3"/>
  <c r="AL4"/>
  <c r="I32" s="1"/>
  <c r="AM5"/>
  <c r="BA5"/>
  <c r="AL6"/>
  <c r="AM7"/>
  <c r="BA7"/>
  <c r="AL8"/>
  <c r="BA9"/>
  <c r="AL10"/>
  <c r="AL14"/>
  <c r="AL16"/>
  <c r="S27"/>
  <c r="P28"/>
  <c r="R28"/>
  <c r="S29"/>
  <c r="R30"/>
  <c r="F31"/>
  <c r="Q31"/>
  <c r="S31"/>
  <c r="R32"/>
  <c r="F35"/>
  <c r="Q35"/>
  <c r="S35"/>
  <c r="Y29" s="1"/>
  <c r="P42"/>
  <c r="P44"/>
  <c r="P46"/>
  <c r="P50"/>
  <c r="P54"/>
  <c r="AA3"/>
  <c r="AC3"/>
  <c r="V3"/>
  <c r="X3"/>
  <c r="Z3"/>
  <c r="AB3"/>
  <c r="AD3"/>
  <c r="AL3"/>
  <c r="AN3"/>
  <c r="AP3"/>
  <c r="W4"/>
  <c r="Y4"/>
  <c r="AM4"/>
  <c r="AO4"/>
  <c r="AS4"/>
  <c r="AU4"/>
  <c r="V5"/>
  <c r="X5"/>
  <c r="AB5"/>
  <c r="AD5"/>
  <c r="AN5"/>
  <c r="AP5"/>
  <c r="W6"/>
  <c r="Y6"/>
  <c r="AA6"/>
  <c r="AC6"/>
  <c r="AM6"/>
  <c r="AO6"/>
  <c r="AS6"/>
  <c r="AU6"/>
  <c r="V7"/>
  <c r="X7"/>
  <c r="AB7"/>
  <c r="G33" s="1"/>
  <c r="AD7"/>
  <c r="AN7"/>
  <c r="AP7"/>
  <c r="W8"/>
  <c r="Y8"/>
  <c r="AM8"/>
  <c r="AO8"/>
  <c r="AS8"/>
  <c r="AU8"/>
  <c r="V9"/>
  <c r="X9"/>
  <c r="AB9"/>
  <c r="AD9"/>
  <c r="AN9"/>
  <c r="AP9"/>
  <c r="W10"/>
  <c r="Y10"/>
  <c r="AM10"/>
  <c r="AO10"/>
  <c r="AS10"/>
  <c r="AU10"/>
  <c r="W14"/>
  <c r="Y14"/>
  <c r="AM14"/>
  <c r="AO14"/>
  <c r="AS14"/>
  <c r="AU14"/>
  <c r="W16"/>
  <c r="G28" s="1"/>
  <c r="Y16"/>
  <c r="AM16"/>
  <c r="AO16"/>
  <c r="AS16"/>
  <c r="AU16"/>
  <c r="V17"/>
  <c r="X17"/>
  <c r="AB17"/>
  <c r="AD17"/>
  <c r="AM18"/>
  <c r="AO18"/>
  <c r="AQ18"/>
  <c r="AS18"/>
  <c r="AU18"/>
  <c r="AO22"/>
  <c r="AQ22"/>
  <c r="AS22"/>
  <c r="AU22"/>
  <c r="R27"/>
  <c r="X33" s="1"/>
  <c r="F28"/>
  <c r="Q28"/>
  <c r="S28"/>
  <c r="R29"/>
  <c r="S30"/>
  <c r="P31"/>
  <c r="R31"/>
  <c r="S32"/>
  <c r="G35"/>
  <c r="I35"/>
  <c r="Q40"/>
  <c r="P43"/>
  <c r="AX65" i="6"/>
  <c r="AC56" i="32" s="1"/>
  <c r="AZ65" i="6"/>
  <c r="AG56" i="32" s="1"/>
  <c r="BD65" i="6"/>
  <c r="BE65"/>
  <c r="BF65"/>
  <c r="BG65"/>
  <c r="BH65"/>
  <c r="BI65"/>
  <c r="BJ65"/>
  <c r="BK65"/>
  <c r="BL65"/>
  <c r="BM65"/>
  <c r="AX91"/>
  <c r="AY91" s="1"/>
  <c r="AZ91"/>
  <c r="BA91" s="1"/>
  <c r="BD91"/>
  <c r="BE91"/>
  <c r="BF91"/>
  <c r="BG91"/>
  <c r="BH91"/>
  <c r="BI91"/>
  <c r="BJ91"/>
  <c r="BK91"/>
  <c r="BL91"/>
  <c r="BM91"/>
  <c r="C65"/>
  <c r="C91"/>
  <c r="H56" i="32" l="1"/>
  <c r="G56"/>
  <c r="F56"/>
  <c r="BA65" i="6"/>
  <c r="AG56" i="30"/>
  <c r="AY65" i="6"/>
  <c r="AC56" i="30"/>
  <c r="H29" i="31"/>
  <c r="X27"/>
  <c r="G27"/>
  <c r="Y28"/>
  <c r="Y32"/>
  <c r="H28"/>
  <c r="G2"/>
  <c r="I30"/>
  <c r="H2"/>
  <c r="BB65" i="6"/>
  <c r="BC65" s="1"/>
  <c r="Y27" i="31"/>
  <c r="I28"/>
  <c r="G30"/>
  <c r="G32"/>
  <c r="H32"/>
  <c r="X30"/>
  <c r="X32"/>
  <c r="I29"/>
  <c r="I27"/>
  <c r="G29"/>
  <c r="Y30"/>
  <c r="Y33"/>
  <c r="Y31"/>
  <c r="X31"/>
  <c r="X28"/>
  <c r="X34"/>
  <c r="Y34"/>
  <c r="H35"/>
  <c r="H33"/>
  <c r="H31"/>
  <c r="I31"/>
  <c r="H27"/>
  <c r="Q54"/>
  <c r="Q50"/>
  <c r="Q46"/>
  <c r="Q44"/>
  <c r="Q42"/>
  <c r="Q55"/>
  <c r="Q43"/>
  <c r="R40"/>
  <c r="H30"/>
  <c r="BN65" i="6"/>
  <c r="BN91"/>
  <c r="BB91"/>
  <c r="BC91" s="1"/>
  <c r="G56" i="30" l="1"/>
  <c r="H56"/>
  <c r="F56"/>
  <c r="R55" i="31"/>
  <c r="R43"/>
  <c r="S40"/>
  <c r="R54"/>
  <c r="R50"/>
  <c r="R46"/>
  <c r="R44"/>
  <c r="R42"/>
  <c r="S54" l="1"/>
  <c r="S50"/>
  <c r="S46"/>
  <c r="S44"/>
  <c r="S42"/>
  <c r="S55"/>
  <c r="S43"/>
  <c r="T40"/>
  <c r="T55" l="1"/>
  <c r="T43"/>
  <c r="U40"/>
  <c r="T54"/>
  <c r="T50"/>
  <c r="T46"/>
  <c r="T44"/>
  <c r="T42"/>
  <c r="U54" l="1"/>
  <c r="U50"/>
  <c r="U46"/>
  <c r="U44"/>
  <c r="U42"/>
  <c r="U55"/>
  <c r="U43"/>
  <c r="V40"/>
  <c r="V55" l="1"/>
  <c r="V43"/>
  <c r="W40"/>
  <c r="V54"/>
  <c r="V50"/>
  <c r="V46"/>
  <c r="V44"/>
  <c r="V42"/>
  <c r="W54" l="1"/>
  <c r="W50"/>
  <c r="W46"/>
  <c r="W44"/>
  <c r="W42"/>
  <c r="W55"/>
  <c r="W43"/>
  <c r="X40"/>
  <c r="X55" l="1"/>
  <c r="X43"/>
  <c r="Y40"/>
  <c r="X54"/>
  <c r="X50"/>
  <c r="X46"/>
  <c r="X44"/>
  <c r="X42"/>
  <c r="Y54" l="1"/>
  <c r="Y50"/>
  <c r="Y46"/>
  <c r="Y44"/>
  <c r="Y42"/>
  <c r="Y55"/>
  <c r="Y43"/>
  <c r="Z40"/>
  <c r="Z55" l="1"/>
  <c r="K55" s="1"/>
  <c r="Z43"/>
  <c r="K43" s="1"/>
  <c r="Z54"/>
  <c r="K54" s="1"/>
  <c r="Z50"/>
  <c r="K50" s="1"/>
  <c r="Z46"/>
  <c r="K46" s="1"/>
  <c r="Z44"/>
  <c r="K44" s="1"/>
  <c r="Z42"/>
  <c r="K42" s="1"/>
  <c r="AQ61" i="5" l="1"/>
  <c r="AR61" s="1"/>
  <c r="AS61"/>
  <c r="AT61" s="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B61"/>
  <c r="CC61"/>
  <c r="CD61"/>
  <c r="CE61"/>
  <c r="D61" l="1"/>
  <c r="C61"/>
  <c r="AU61"/>
  <c r="AV61" s="1"/>
  <c r="CA61"/>
  <c r="AQ15"/>
  <c r="AR15" s="1"/>
  <c r="AS15"/>
  <c r="AT15" s="1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B15"/>
  <c r="CC15"/>
  <c r="CD15"/>
  <c r="CE15"/>
  <c r="C15" l="1"/>
  <c r="D15"/>
  <c r="AU15"/>
  <c r="AV15" s="1"/>
  <c r="CA15"/>
  <c r="L2" i="7" l="1"/>
  <c r="M2" s="1"/>
  <c r="N2" s="1"/>
  <c r="D67" i="30"/>
  <c r="E67"/>
  <c r="D68"/>
  <c r="E68"/>
  <c r="D69"/>
  <c r="E69"/>
  <c r="D70"/>
  <c r="E70"/>
  <c r="J70"/>
  <c r="D71"/>
  <c r="E71"/>
  <c r="J71"/>
  <c r="B2" i="5"/>
  <c r="B3"/>
  <c r="B4"/>
  <c r="B5"/>
  <c r="B2" i="6"/>
  <c r="B3"/>
  <c r="B4"/>
  <c r="B5"/>
  <c r="B6"/>
  <c r="B6" i="5"/>
  <c r="J72" i="30"/>
  <c r="E72"/>
  <c r="D72"/>
  <c r="E66"/>
  <c r="D66"/>
  <c r="E65"/>
  <c r="D65"/>
  <c r="E64"/>
  <c r="D64"/>
  <c r="E63"/>
  <c r="D63"/>
  <c r="E60"/>
  <c r="D60"/>
  <c r="E59"/>
  <c r="D59"/>
  <c r="J56"/>
  <c r="E56"/>
  <c r="D56"/>
  <c r="E55"/>
  <c r="D55"/>
  <c r="E54"/>
  <c r="D54"/>
  <c r="E53"/>
  <c r="D53"/>
  <c r="E52"/>
  <c r="D52"/>
  <c r="E51"/>
  <c r="D51"/>
  <c r="O49"/>
  <c r="C47"/>
  <c r="C46"/>
  <c r="R37"/>
  <c r="Q37"/>
  <c r="AY33"/>
  <c r="AX33"/>
  <c r="AW33"/>
  <c r="AV33"/>
  <c r="AU33"/>
  <c r="AZ33" s="1"/>
  <c r="AJ33"/>
  <c r="AI33"/>
  <c r="AH33"/>
  <c r="AG33"/>
  <c r="AF33"/>
  <c r="AE33"/>
  <c r="AD33"/>
  <c r="AA33"/>
  <c r="W33"/>
  <c r="T33"/>
  <c r="S33"/>
  <c r="R33"/>
  <c r="Q33"/>
  <c r="P33"/>
  <c r="O33"/>
  <c r="N33"/>
  <c r="M33"/>
  <c r="L33"/>
  <c r="K33"/>
  <c r="J33"/>
  <c r="I33"/>
  <c r="H33"/>
  <c r="G33"/>
  <c r="F33"/>
  <c r="E33"/>
  <c r="D33"/>
  <c r="AY31"/>
  <c r="AX31"/>
  <c r="AW31"/>
  <c r="AV31"/>
  <c r="AU31"/>
  <c r="AJ31"/>
  <c r="AI31"/>
  <c r="AH31"/>
  <c r="AG31"/>
  <c r="AF31"/>
  <c r="AE31"/>
  <c r="AD31"/>
  <c r="T31"/>
  <c r="S31"/>
  <c r="R31"/>
  <c r="Q31"/>
  <c r="P31"/>
  <c r="O31"/>
  <c r="N31"/>
  <c r="M31"/>
  <c r="L31"/>
  <c r="K31"/>
  <c r="J31"/>
  <c r="I31"/>
  <c r="H31"/>
  <c r="G31"/>
  <c r="F31"/>
  <c r="E31"/>
  <c r="D31"/>
  <c r="AY30"/>
  <c r="AX30"/>
  <c r="AW30"/>
  <c r="AV30"/>
  <c r="AU30"/>
  <c r="AJ30"/>
  <c r="AI30"/>
  <c r="AH30"/>
  <c r="AG30"/>
  <c r="AF30"/>
  <c r="AE30"/>
  <c r="AD30"/>
  <c r="T30"/>
  <c r="S30"/>
  <c r="R30"/>
  <c r="Q30"/>
  <c r="P30"/>
  <c r="O30"/>
  <c r="N30"/>
  <c r="M30"/>
  <c r="L30"/>
  <c r="K30"/>
  <c r="J30"/>
  <c r="I30"/>
  <c r="H30"/>
  <c r="G30"/>
  <c r="F30"/>
  <c r="E30"/>
  <c r="D30"/>
  <c r="C29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AY26"/>
  <c r="AX26"/>
  <c r="AW26"/>
  <c r="AV26"/>
  <c r="AU26"/>
  <c r="AJ26"/>
  <c r="AI26"/>
  <c r="AH26"/>
  <c r="AG26"/>
  <c r="AF26"/>
  <c r="AE26"/>
  <c r="AD26"/>
  <c r="T26"/>
  <c r="S26"/>
  <c r="R26"/>
  <c r="Q26"/>
  <c r="G26" s="1"/>
  <c r="P26"/>
  <c r="O26"/>
  <c r="N26"/>
  <c r="M26"/>
  <c r="L26"/>
  <c r="K26"/>
  <c r="J26"/>
  <c r="I26"/>
  <c r="E26"/>
  <c r="D26"/>
  <c r="AY23"/>
  <c r="AX23"/>
  <c r="AW23"/>
  <c r="AV23"/>
  <c r="AU23"/>
  <c r="AJ23"/>
  <c r="AI23"/>
  <c r="AH23"/>
  <c r="AG23"/>
  <c r="AF23"/>
  <c r="AE23"/>
  <c r="AD23"/>
  <c r="T23"/>
  <c r="S23"/>
  <c r="R23"/>
  <c r="Q23"/>
  <c r="G23" s="1"/>
  <c r="P23"/>
  <c r="O23"/>
  <c r="N23"/>
  <c r="M23"/>
  <c r="L23"/>
  <c r="K23"/>
  <c r="J23"/>
  <c r="I23"/>
  <c r="E23"/>
  <c r="D23"/>
  <c r="AY22"/>
  <c r="AX22"/>
  <c r="AW22"/>
  <c r="AV22"/>
  <c r="AU22"/>
  <c r="AJ22"/>
  <c r="AI22"/>
  <c r="AH22"/>
  <c r="AG22"/>
  <c r="AF22"/>
  <c r="AE22"/>
  <c r="AD22"/>
  <c r="T22"/>
  <c r="S22"/>
  <c r="R22"/>
  <c r="Q22"/>
  <c r="G22" s="1"/>
  <c r="P22"/>
  <c r="O22"/>
  <c r="N22"/>
  <c r="M22"/>
  <c r="L22"/>
  <c r="K22"/>
  <c r="J22"/>
  <c r="I22"/>
  <c r="E22"/>
  <c r="D22"/>
  <c r="AY21"/>
  <c r="AX21"/>
  <c r="AW21"/>
  <c r="AV21"/>
  <c r="AU21"/>
  <c r="AJ21"/>
  <c r="AI21"/>
  <c r="AH21"/>
  <c r="AG21"/>
  <c r="AF21"/>
  <c r="AE21"/>
  <c r="AD21"/>
  <c r="T21"/>
  <c r="S21"/>
  <c r="R21"/>
  <c r="Q21"/>
  <c r="G21" s="1"/>
  <c r="P21"/>
  <c r="O21"/>
  <c r="N21"/>
  <c r="M21"/>
  <c r="L21"/>
  <c r="K21"/>
  <c r="J21"/>
  <c r="I21"/>
  <c r="E21"/>
  <c r="D21"/>
  <c r="AY20"/>
  <c r="AX20"/>
  <c r="AW20"/>
  <c r="AV20"/>
  <c r="AU20"/>
  <c r="AJ20"/>
  <c r="AI20"/>
  <c r="AH20"/>
  <c r="AG20"/>
  <c r="AF20"/>
  <c r="AE20"/>
  <c r="AD20"/>
  <c r="T20"/>
  <c r="S20"/>
  <c r="R20"/>
  <c r="Q20"/>
  <c r="G20" s="1"/>
  <c r="P20"/>
  <c r="O20"/>
  <c r="N20"/>
  <c r="M20"/>
  <c r="L20"/>
  <c r="K20"/>
  <c r="J20"/>
  <c r="I20"/>
  <c r="E20"/>
  <c r="D20"/>
  <c r="C19"/>
  <c r="O44" s="1"/>
  <c r="AY17"/>
  <c r="AX17"/>
  <c r="AW17"/>
  <c r="AV17"/>
  <c r="AU17"/>
  <c r="AZ17" s="1"/>
  <c r="AJ17"/>
  <c r="AI17"/>
  <c r="AH17"/>
  <c r="AG17"/>
  <c r="AF17"/>
  <c r="X17" s="1"/>
  <c r="AE17"/>
  <c r="AD17"/>
  <c r="AC17" s="1"/>
  <c r="AA17"/>
  <c r="Y17"/>
  <c r="W17"/>
  <c r="U17"/>
  <c r="T17"/>
  <c r="S17"/>
  <c r="R17"/>
  <c r="Q17"/>
  <c r="P17"/>
  <c r="O17"/>
  <c r="N17"/>
  <c r="M17"/>
  <c r="F17" s="1"/>
  <c r="L17"/>
  <c r="K17"/>
  <c r="J17"/>
  <c r="I17"/>
  <c r="H17"/>
  <c r="G17"/>
  <c r="E17"/>
  <c r="D17"/>
  <c r="AY14"/>
  <c r="AX14"/>
  <c r="AW14"/>
  <c r="AV14"/>
  <c r="AU14"/>
  <c r="AM14"/>
  <c r="AJ14"/>
  <c r="AI14"/>
  <c r="AH14"/>
  <c r="AG14"/>
  <c r="AF14"/>
  <c r="AE14"/>
  <c r="AD14"/>
  <c r="Z14"/>
  <c r="T14"/>
  <c r="S14"/>
  <c r="R14"/>
  <c r="Q14"/>
  <c r="P14"/>
  <c r="O14"/>
  <c r="N14"/>
  <c r="M14"/>
  <c r="L14"/>
  <c r="K14"/>
  <c r="J14"/>
  <c r="I14"/>
  <c r="H14"/>
  <c r="E14"/>
  <c r="D14"/>
  <c r="AY12"/>
  <c r="AX12"/>
  <c r="AW12"/>
  <c r="AV12"/>
  <c r="AU12"/>
  <c r="AS12" s="1"/>
  <c r="AJ12"/>
  <c r="AI12"/>
  <c r="AH12"/>
  <c r="AG12"/>
  <c r="AF12"/>
  <c r="AE12"/>
  <c r="AD12"/>
  <c r="T12"/>
  <c r="S12"/>
  <c r="R12"/>
  <c r="Q12"/>
  <c r="P12"/>
  <c r="O12"/>
  <c r="N12"/>
  <c r="M12"/>
  <c r="L12"/>
  <c r="K12"/>
  <c r="J12"/>
  <c r="I12"/>
  <c r="H12"/>
  <c r="E12"/>
  <c r="D12"/>
  <c r="AY11"/>
  <c r="AX11"/>
  <c r="AW11"/>
  <c r="AV11"/>
  <c r="AU11"/>
  <c r="AJ11"/>
  <c r="AI11"/>
  <c r="AH11"/>
  <c r="AG11"/>
  <c r="AF11"/>
  <c r="AE11"/>
  <c r="AD11"/>
  <c r="T11"/>
  <c r="S11"/>
  <c r="R11"/>
  <c r="Q11"/>
  <c r="P11"/>
  <c r="O11"/>
  <c r="N11"/>
  <c r="M11"/>
  <c r="L11"/>
  <c r="K11"/>
  <c r="J11"/>
  <c r="I11"/>
  <c r="H11"/>
  <c r="E11"/>
  <c r="D11"/>
  <c r="AY10"/>
  <c r="AX10"/>
  <c r="AW10"/>
  <c r="AV10"/>
  <c r="AU10"/>
  <c r="AJ10"/>
  <c r="P37" s="1"/>
  <c r="AI10"/>
  <c r="O37" s="1"/>
  <c r="AH10"/>
  <c r="N37" s="1"/>
  <c r="AG10"/>
  <c r="AF10"/>
  <c r="L37" s="1"/>
  <c r="AE10"/>
  <c r="K37" s="1"/>
  <c r="AD10"/>
  <c r="J37" s="1"/>
  <c r="T10"/>
  <c r="S10"/>
  <c r="R10"/>
  <c r="Q10"/>
  <c r="P10"/>
  <c r="O10"/>
  <c r="N10"/>
  <c r="M10"/>
  <c r="L10"/>
  <c r="K10"/>
  <c r="J10"/>
  <c r="I10"/>
  <c r="H10"/>
  <c r="E10"/>
  <c r="E37" s="1"/>
  <c r="D10"/>
  <c r="AY9"/>
  <c r="AX9"/>
  <c r="AW9"/>
  <c r="AV9"/>
  <c r="AU9"/>
  <c r="AJ9"/>
  <c r="P41" s="1"/>
  <c r="AI9"/>
  <c r="O41" s="1"/>
  <c r="AH9"/>
  <c r="N41" s="1"/>
  <c r="AG9"/>
  <c r="M41" s="1"/>
  <c r="AF9"/>
  <c r="AE9"/>
  <c r="K41" s="1"/>
  <c r="AD9"/>
  <c r="T9"/>
  <c r="S9"/>
  <c r="R9"/>
  <c r="Q9"/>
  <c r="P9"/>
  <c r="O9"/>
  <c r="N9"/>
  <c r="M9"/>
  <c r="L9"/>
  <c r="K9"/>
  <c r="J9"/>
  <c r="I9"/>
  <c r="H9"/>
  <c r="E9"/>
  <c r="E41" s="1"/>
  <c r="D9"/>
  <c r="AY8"/>
  <c r="AX8"/>
  <c r="AW8"/>
  <c r="AV8"/>
  <c r="AU8"/>
  <c r="AJ8"/>
  <c r="P36" s="1"/>
  <c r="AI8"/>
  <c r="O36" s="1"/>
  <c r="AH8"/>
  <c r="N36" s="1"/>
  <c r="AG8"/>
  <c r="M36" s="1"/>
  <c r="AF8"/>
  <c r="L36" s="1"/>
  <c r="AE8"/>
  <c r="AD8"/>
  <c r="J36" s="1"/>
  <c r="T8"/>
  <c r="S8"/>
  <c r="R8"/>
  <c r="Q8"/>
  <c r="P8"/>
  <c r="O8"/>
  <c r="N8"/>
  <c r="M8"/>
  <c r="L8"/>
  <c r="K8"/>
  <c r="J8"/>
  <c r="I8"/>
  <c r="H8"/>
  <c r="E8"/>
  <c r="E36" s="1"/>
  <c r="D8"/>
  <c r="AY7"/>
  <c r="AX7"/>
  <c r="AW7"/>
  <c r="AV7"/>
  <c r="AU7"/>
  <c r="AJ7"/>
  <c r="P42" s="1"/>
  <c r="AI7"/>
  <c r="O42" s="1"/>
  <c r="AH7"/>
  <c r="N42" s="1"/>
  <c r="AG7"/>
  <c r="M42" s="1"/>
  <c r="AF7"/>
  <c r="L42" s="1"/>
  <c r="AE7"/>
  <c r="K42" s="1"/>
  <c r="AD7"/>
  <c r="J42" s="1"/>
  <c r="T7"/>
  <c r="S7"/>
  <c r="R7"/>
  <c r="Q7"/>
  <c r="P7"/>
  <c r="O7"/>
  <c r="N7"/>
  <c r="M7"/>
  <c r="L7"/>
  <c r="K7"/>
  <c r="J7"/>
  <c r="I7"/>
  <c r="H7"/>
  <c r="E7"/>
  <c r="E42" s="1"/>
  <c r="D7"/>
  <c r="AY6"/>
  <c r="AX6"/>
  <c r="AW6"/>
  <c r="AV6"/>
  <c r="AU6"/>
  <c r="AJ6"/>
  <c r="P39" s="1"/>
  <c r="AI6"/>
  <c r="O39" s="1"/>
  <c r="AH6"/>
  <c r="N39" s="1"/>
  <c r="AG6"/>
  <c r="M39" s="1"/>
  <c r="AF6"/>
  <c r="L39" s="1"/>
  <c r="AE6"/>
  <c r="K39" s="1"/>
  <c r="AD6"/>
  <c r="J39" s="1"/>
  <c r="T6"/>
  <c r="S6"/>
  <c r="R6"/>
  <c r="Q6"/>
  <c r="P6"/>
  <c r="O6"/>
  <c r="N6"/>
  <c r="M6"/>
  <c r="L6"/>
  <c r="K6"/>
  <c r="J6"/>
  <c r="I6"/>
  <c r="H6"/>
  <c r="E6"/>
  <c r="E39" s="1"/>
  <c r="D6"/>
  <c r="C5"/>
  <c r="V14" l="1"/>
  <c r="W12"/>
  <c r="F14"/>
  <c r="AO12"/>
  <c r="AQ14"/>
  <c r="AK12"/>
  <c r="AC14"/>
  <c r="X14"/>
  <c r="G12"/>
  <c r="AA12"/>
  <c r="G14"/>
  <c r="AB14"/>
  <c r="AA14"/>
  <c r="AZ14"/>
  <c r="AO14"/>
  <c r="Y12"/>
  <c r="AQ12"/>
  <c r="AC33"/>
  <c r="V17"/>
  <c r="Z17"/>
  <c r="AB17"/>
  <c r="AM17"/>
  <c r="AQ17"/>
  <c r="AK17"/>
  <c r="AO17"/>
  <c r="AS17"/>
  <c r="AL17"/>
  <c r="AN17"/>
  <c r="AP17"/>
  <c r="AR17"/>
  <c r="AT17"/>
  <c r="F12"/>
  <c r="U12"/>
  <c r="AC12"/>
  <c r="AB12"/>
  <c r="Z12"/>
  <c r="AM12"/>
  <c r="AZ12"/>
  <c r="AP12"/>
  <c r="U14"/>
  <c r="W14"/>
  <c r="Y14"/>
  <c r="AK14"/>
  <c r="AS14"/>
  <c r="Y33"/>
  <c r="AL14"/>
  <c r="AN14"/>
  <c r="AP14"/>
  <c r="AR14"/>
  <c r="AT14"/>
  <c r="V12"/>
  <c r="X12"/>
  <c r="AL12"/>
  <c r="AN12"/>
  <c r="AR12"/>
  <c r="AT12"/>
  <c r="U33"/>
  <c r="AB33"/>
  <c r="AM33"/>
  <c r="AQ33"/>
  <c r="Z33"/>
  <c r="AP33"/>
  <c r="AK33"/>
  <c r="AO33"/>
  <c r="AS33"/>
  <c r="V33"/>
  <c r="X33"/>
  <c r="AL33"/>
  <c r="AN33"/>
  <c r="AR33"/>
  <c r="AT33"/>
  <c r="F29"/>
  <c r="C48"/>
  <c r="D46" s="1"/>
  <c r="AN22"/>
  <c r="AM23"/>
  <c r="Y31"/>
  <c r="I5"/>
  <c r="H23"/>
  <c r="H26"/>
  <c r="Z26"/>
  <c r="U31"/>
  <c r="AZ31"/>
  <c r="AP26"/>
  <c r="AN7"/>
  <c r="F11"/>
  <c r="AT11"/>
  <c r="Z20"/>
  <c r="AC21"/>
  <c r="Y23"/>
  <c r="H22"/>
  <c r="AQ6"/>
  <c r="Y6"/>
  <c r="G7"/>
  <c r="V9"/>
  <c r="AS10"/>
  <c r="V11"/>
  <c r="AB22"/>
  <c r="AQ23"/>
  <c r="AB30"/>
  <c r="X30"/>
  <c r="Z8"/>
  <c r="AQ8"/>
  <c r="AT9"/>
  <c r="W10"/>
  <c r="AQ10"/>
  <c r="AS11"/>
  <c r="AP11"/>
  <c r="AT20"/>
  <c r="AP20"/>
  <c r="AS21"/>
  <c r="F22"/>
  <c r="Z22"/>
  <c r="V26"/>
  <c r="AT30"/>
  <c r="AP30"/>
  <c r="AC31"/>
  <c r="G6"/>
  <c r="AB7"/>
  <c r="AP9"/>
  <c r="AM6"/>
  <c r="AT7"/>
  <c r="V8"/>
  <c r="AB9"/>
  <c r="AK11"/>
  <c r="AL11"/>
  <c r="V20"/>
  <c r="W21"/>
  <c r="AQ21"/>
  <c r="AT22"/>
  <c r="AC23"/>
  <c r="AT26"/>
  <c r="W31"/>
  <c r="AB31"/>
  <c r="AA31"/>
  <c r="AM31"/>
  <c r="H5"/>
  <c r="AP7"/>
  <c r="X9"/>
  <c r="Y21"/>
  <c r="AP22"/>
  <c r="F6"/>
  <c r="U6"/>
  <c r="AC6"/>
  <c r="AZ6"/>
  <c r="X7"/>
  <c r="AR7"/>
  <c r="G8"/>
  <c r="X8"/>
  <c r="AC8"/>
  <c r="AM8"/>
  <c r="Z9"/>
  <c r="F41" s="1"/>
  <c r="G10"/>
  <c r="AA10"/>
  <c r="AO10"/>
  <c r="Z11"/>
  <c r="H20"/>
  <c r="F20"/>
  <c r="AK20"/>
  <c r="AL20"/>
  <c r="AS20"/>
  <c r="AA21"/>
  <c r="AO21"/>
  <c r="X22"/>
  <c r="AR22"/>
  <c r="G19"/>
  <c r="U23"/>
  <c r="AB23"/>
  <c r="AZ23"/>
  <c r="F26"/>
  <c r="AK26"/>
  <c r="AL26"/>
  <c r="AS26"/>
  <c r="Z30"/>
  <c r="AM30"/>
  <c r="AS30"/>
  <c r="V31"/>
  <c r="X31"/>
  <c r="Z31"/>
  <c r="AQ31"/>
  <c r="AP6"/>
  <c r="Y11"/>
  <c r="AZ11"/>
  <c r="Y20"/>
  <c r="AZ20"/>
  <c r="F23"/>
  <c r="AK23"/>
  <c r="AP23"/>
  <c r="Y26"/>
  <c r="AZ26"/>
  <c r="AZ30"/>
  <c r="W6"/>
  <c r="AA6"/>
  <c r="AO6"/>
  <c r="AS6"/>
  <c r="F7"/>
  <c r="V7"/>
  <c r="Z7"/>
  <c r="AS7"/>
  <c r="AQ7"/>
  <c r="F8"/>
  <c r="U8"/>
  <c r="F36" s="1"/>
  <c r="W8"/>
  <c r="Y8"/>
  <c r="AA8"/>
  <c r="G9"/>
  <c r="AL9"/>
  <c r="AS9"/>
  <c r="F10"/>
  <c r="U10"/>
  <c r="Y10"/>
  <c r="AC10"/>
  <c r="AK10"/>
  <c r="H37" s="1"/>
  <c r="AM10"/>
  <c r="AZ10"/>
  <c r="AP10"/>
  <c r="G11"/>
  <c r="X11"/>
  <c r="AB11"/>
  <c r="AN11"/>
  <c r="AR11"/>
  <c r="X20"/>
  <c r="AB20"/>
  <c r="AN20"/>
  <c r="AR20"/>
  <c r="H21"/>
  <c r="F21"/>
  <c r="U21"/>
  <c r="AB21"/>
  <c r="F43" s="1"/>
  <c r="AK21"/>
  <c r="AM21"/>
  <c r="AZ21"/>
  <c r="AP21"/>
  <c r="V22"/>
  <c r="AK22"/>
  <c r="H38" s="1"/>
  <c r="Y22"/>
  <c r="AL22"/>
  <c r="AS22"/>
  <c r="AZ22"/>
  <c r="W23"/>
  <c r="AA23"/>
  <c r="AO23"/>
  <c r="AS23"/>
  <c r="X26"/>
  <c r="AB26"/>
  <c r="AN26"/>
  <c r="AR26"/>
  <c r="V30"/>
  <c r="AK30"/>
  <c r="Y30"/>
  <c r="AL30"/>
  <c r="AN30"/>
  <c r="AR30"/>
  <c r="AK31"/>
  <c r="AO31"/>
  <c r="AS31"/>
  <c r="Q44"/>
  <c r="W38" s="1"/>
  <c r="R43"/>
  <c r="X39" s="1"/>
  <c r="Q42"/>
  <c r="W41" s="1"/>
  <c r="R41"/>
  <c r="X43" s="1"/>
  <c r="Q40"/>
  <c r="W36" s="1"/>
  <c r="R39"/>
  <c r="X37" s="1"/>
  <c r="Q38"/>
  <c r="W40" s="1"/>
  <c r="Q36"/>
  <c r="W42" s="1"/>
  <c r="R44"/>
  <c r="X38" s="1"/>
  <c r="Q43"/>
  <c r="W39" s="1"/>
  <c r="R42"/>
  <c r="X41" s="1"/>
  <c r="Q41"/>
  <c r="W43" s="1"/>
  <c r="R40"/>
  <c r="X36" s="1"/>
  <c r="Q39"/>
  <c r="W37" s="1"/>
  <c r="R38"/>
  <c r="X40" s="1"/>
  <c r="R36"/>
  <c r="X42" s="1"/>
  <c r="AZ8"/>
  <c r="AT8"/>
  <c r="AR8"/>
  <c r="AN8"/>
  <c r="AL8"/>
  <c r="AQ9"/>
  <c r="AO9"/>
  <c r="AM9"/>
  <c r="AK6"/>
  <c r="H39" s="1"/>
  <c r="AL7"/>
  <c r="AZ7"/>
  <c r="G36"/>
  <c r="AP8"/>
  <c r="AZ9"/>
  <c r="K36"/>
  <c r="AB8"/>
  <c r="J41"/>
  <c r="AK9"/>
  <c r="H41" s="1"/>
  <c r="AC9"/>
  <c r="AA9"/>
  <c r="W9"/>
  <c r="U9"/>
  <c r="L41"/>
  <c r="Y9"/>
  <c r="V6"/>
  <c r="X6"/>
  <c r="F39" s="1"/>
  <c r="Z6"/>
  <c r="AB6"/>
  <c r="AL6"/>
  <c r="AN6"/>
  <c r="AR6"/>
  <c r="AT6"/>
  <c r="U7"/>
  <c r="W7"/>
  <c r="Y7"/>
  <c r="AA7"/>
  <c r="F42" s="1"/>
  <c r="AC7"/>
  <c r="AK7"/>
  <c r="H42" s="1"/>
  <c r="AM7"/>
  <c r="AO7"/>
  <c r="AK8"/>
  <c r="H36" s="1"/>
  <c r="AO8"/>
  <c r="AS8"/>
  <c r="F9"/>
  <c r="AN9"/>
  <c r="AR9"/>
  <c r="V10"/>
  <c r="F37" s="1"/>
  <c r="X10"/>
  <c r="Z10"/>
  <c r="AB10"/>
  <c r="AL10"/>
  <c r="AN10"/>
  <c r="AR10"/>
  <c r="AT10"/>
  <c r="U11"/>
  <c r="W11"/>
  <c r="AA11"/>
  <c r="AC11"/>
  <c r="AM11"/>
  <c r="AO11"/>
  <c r="AQ11"/>
  <c r="U20"/>
  <c r="G44" s="1"/>
  <c r="W20"/>
  <c r="AA20"/>
  <c r="AC20"/>
  <c r="AM20"/>
  <c r="AO20"/>
  <c r="AQ20"/>
  <c r="V21"/>
  <c r="X21"/>
  <c r="Z21"/>
  <c r="AL21"/>
  <c r="AN21"/>
  <c r="AR21"/>
  <c r="AT21"/>
  <c r="U22"/>
  <c r="W22"/>
  <c r="G38" s="1"/>
  <c r="AA22"/>
  <c r="AC22"/>
  <c r="AM22"/>
  <c r="AO22"/>
  <c r="AQ22"/>
  <c r="V23"/>
  <c r="X23"/>
  <c r="Z23"/>
  <c r="AL23"/>
  <c r="AN23"/>
  <c r="AR23"/>
  <c r="AT23"/>
  <c r="U26"/>
  <c r="W26"/>
  <c r="AA26"/>
  <c r="AC26"/>
  <c r="AM26"/>
  <c r="AO26"/>
  <c r="AQ26"/>
  <c r="U30"/>
  <c r="W30"/>
  <c r="AA30"/>
  <c r="AC30"/>
  <c r="AO30"/>
  <c r="AQ30"/>
  <c r="AL31"/>
  <c r="AN31"/>
  <c r="AP31"/>
  <c r="AR31"/>
  <c r="AT31"/>
  <c r="M37"/>
  <c r="E38"/>
  <c r="J38"/>
  <c r="L38"/>
  <c r="N38"/>
  <c r="P38"/>
  <c r="E40"/>
  <c r="J40"/>
  <c r="L40"/>
  <c r="N40"/>
  <c r="P40"/>
  <c r="H43"/>
  <c r="K43"/>
  <c r="M43"/>
  <c r="O43"/>
  <c r="E44"/>
  <c r="J44"/>
  <c r="L44"/>
  <c r="N44"/>
  <c r="P44"/>
  <c r="F38"/>
  <c r="K38"/>
  <c r="M38"/>
  <c r="O38"/>
  <c r="F40"/>
  <c r="H40"/>
  <c r="K40"/>
  <c r="M40"/>
  <c r="O40"/>
  <c r="E43"/>
  <c r="J43"/>
  <c r="L43"/>
  <c r="N43"/>
  <c r="P43"/>
  <c r="F44"/>
  <c r="H44"/>
  <c r="K44"/>
  <c r="M44"/>
  <c r="P49"/>
  <c r="D47" l="1"/>
  <c r="F5"/>
  <c r="F19"/>
  <c r="H19"/>
  <c r="G40"/>
  <c r="G43"/>
  <c r="G41"/>
  <c r="G5"/>
  <c r="G37"/>
  <c r="Q49"/>
  <c r="G42"/>
  <c r="G39"/>
  <c r="R49" l="1"/>
  <c r="S49" l="1"/>
  <c r="T49" l="1"/>
  <c r="U49" l="1"/>
  <c r="V49" l="1"/>
  <c r="W49" l="1"/>
  <c r="X49" l="1"/>
  <c r="Y49" l="1"/>
  <c r="J67" l="1"/>
  <c r="J69"/>
  <c r="J68"/>
  <c r="J66"/>
  <c r="J64"/>
  <c r="J60"/>
  <c r="J54"/>
  <c r="J52"/>
  <c r="J65"/>
  <c r="J63"/>
  <c r="J59"/>
  <c r="J55"/>
  <c r="J53"/>
  <c r="J51"/>
  <c r="AQ48" i="5" l="1"/>
  <c r="AR48" s="1"/>
  <c r="AS48"/>
  <c r="AT48" s="1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B48"/>
  <c r="CC48"/>
  <c r="CD48"/>
  <c r="CE48"/>
  <c r="AQ70"/>
  <c r="AR70" s="1"/>
  <c r="AS70"/>
  <c r="AT70" s="1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B70"/>
  <c r="CC70"/>
  <c r="CD70"/>
  <c r="CE70"/>
  <c r="AQ46"/>
  <c r="AR46" s="1"/>
  <c r="AS46"/>
  <c r="AT46" s="1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B46"/>
  <c r="CC46"/>
  <c r="CD46"/>
  <c r="CE46"/>
  <c r="L56" i="9"/>
  <c r="M56"/>
  <c r="AQ83" i="5"/>
  <c r="AR83" s="1"/>
  <c r="AS83"/>
  <c r="AT83" s="1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B83"/>
  <c r="CC83"/>
  <c r="CD83"/>
  <c r="CE83"/>
  <c r="CE16"/>
  <c r="CE18"/>
  <c r="CE88"/>
  <c r="CE17"/>
  <c r="CE52"/>
  <c r="CE86"/>
  <c r="CE57"/>
  <c r="CE72"/>
  <c r="CE43"/>
  <c r="CE35"/>
  <c r="CE60"/>
  <c r="CE62"/>
  <c r="CE20"/>
  <c r="CE41"/>
  <c r="CE59"/>
  <c r="CE14"/>
  <c r="CE74"/>
  <c r="CE19"/>
  <c r="CE75"/>
  <c r="CE80"/>
  <c r="CE38"/>
  <c r="CE42"/>
  <c r="CE56"/>
  <c r="CE53"/>
  <c r="CE90"/>
  <c r="CE65"/>
  <c r="CE13"/>
  <c r="CE32"/>
  <c r="CE31"/>
  <c r="CE84"/>
  <c r="CE71"/>
  <c r="CE24"/>
  <c r="CE91"/>
  <c r="CE12"/>
  <c r="CE58"/>
  <c r="CE45"/>
  <c r="CE33"/>
  <c r="CE27"/>
  <c r="CE55"/>
  <c r="CE63"/>
  <c r="CE77"/>
  <c r="CE64"/>
  <c r="CE50"/>
  <c r="CE22"/>
  <c r="CE26"/>
  <c r="CE21"/>
  <c r="CE68"/>
  <c r="CE34"/>
  <c r="CE36"/>
  <c r="CE37"/>
  <c r="CE73"/>
  <c r="CE87"/>
  <c r="CE92"/>
  <c r="CE47"/>
  <c r="CE51"/>
  <c r="CE49"/>
  <c r="CE67"/>
  <c r="CE66"/>
  <c r="CE82"/>
  <c r="CE28"/>
  <c r="CE11"/>
  <c r="K58" i="9"/>
  <c r="L58"/>
  <c r="M58"/>
  <c r="O69" i="7"/>
  <c r="P69" s="1"/>
  <c r="D83" i="5" l="1"/>
  <c r="C83"/>
  <c r="D46"/>
  <c r="D70"/>
  <c r="D48"/>
  <c r="C46"/>
  <c r="C70"/>
  <c r="C48"/>
  <c r="AU48"/>
  <c r="AV48" s="1"/>
  <c r="AU46"/>
  <c r="AV46" s="1"/>
  <c r="CA70"/>
  <c r="AU70"/>
  <c r="AV70" s="1"/>
  <c r="CA46"/>
  <c r="CA48"/>
  <c r="AU83"/>
  <c r="AV83" s="1"/>
  <c r="CA83"/>
  <c r="N44" i="7"/>
  <c r="M44"/>
  <c r="L44"/>
  <c r="K44"/>
  <c r="J44"/>
  <c r="I44"/>
  <c r="H44"/>
  <c r="G44"/>
  <c r="F44"/>
  <c r="E44"/>
  <c r="AQ17" i="5"/>
  <c r="AR17" s="1"/>
  <c r="AS17"/>
  <c r="AT17" s="1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B17"/>
  <c r="CC17"/>
  <c r="CD17"/>
  <c r="E17"/>
  <c r="B11" i="25"/>
  <c r="AX17" i="6"/>
  <c r="AZ17"/>
  <c r="BD17"/>
  <c r="BE17"/>
  <c r="BF17"/>
  <c r="BG17"/>
  <c r="BH17"/>
  <c r="BI17"/>
  <c r="BJ17"/>
  <c r="BK17"/>
  <c r="BL17"/>
  <c r="BM17"/>
  <c r="C17"/>
  <c r="BA17" l="1"/>
  <c r="AG68" i="9"/>
  <c r="AY17" i="6"/>
  <c r="AC68" i="9"/>
  <c r="D17" i="5"/>
  <c r="C17"/>
  <c r="AU17"/>
  <c r="AV17" s="1"/>
  <c r="BB17" i="6"/>
  <c r="BC17" s="1"/>
  <c r="CA17" i="5"/>
  <c r="BN17" i="6"/>
  <c r="AX89" l="1"/>
  <c r="AY89" s="1"/>
  <c r="AZ89"/>
  <c r="BA89" s="1"/>
  <c r="BD89"/>
  <c r="BE89"/>
  <c r="BF89"/>
  <c r="BG89"/>
  <c r="BH89"/>
  <c r="BI89"/>
  <c r="BJ89"/>
  <c r="BK89"/>
  <c r="BL89"/>
  <c r="BM89"/>
  <c r="AX33"/>
  <c r="AZ33"/>
  <c r="BD33"/>
  <c r="BE33"/>
  <c r="BF33"/>
  <c r="BG33"/>
  <c r="BH33"/>
  <c r="BI33"/>
  <c r="BJ33"/>
  <c r="BK33"/>
  <c r="BL33"/>
  <c r="BM33"/>
  <c r="C89"/>
  <c r="C33"/>
  <c r="AY33" l="1"/>
  <c r="AC68" i="34"/>
  <c r="BA33" i="6"/>
  <c r="AG68" i="34"/>
  <c r="BB89" i="6"/>
  <c r="BC89" s="1"/>
  <c r="BN33"/>
  <c r="BB33"/>
  <c r="BC33" s="1"/>
  <c r="BN89"/>
  <c r="H68" i="34" l="1"/>
  <c r="F68"/>
  <c r="G68"/>
  <c r="J45" i="7"/>
  <c r="G45"/>
  <c r="AX50" i="23"/>
  <c r="AY50" s="1"/>
  <c r="AZ50"/>
  <c r="BA50" s="1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AX24"/>
  <c r="AY24" s="1"/>
  <c r="AZ24"/>
  <c r="BA24" s="1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AX71"/>
  <c r="AY71" s="1"/>
  <c r="AZ71"/>
  <c r="BA71" s="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CB71"/>
  <c r="CC71"/>
  <c r="CD71"/>
  <c r="CE71"/>
  <c r="CF71"/>
  <c r="CG71"/>
  <c r="CH71"/>
  <c r="CI71"/>
  <c r="CJ71"/>
  <c r="AX22"/>
  <c r="AY22" s="1"/>
  <c r="AZ22"/>
  <c r="BA22" s="1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AX34"/>
  <c r="AY34" s="1"/>
  <c r="AZ34"/>
  <c r="BA34" s="1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34"/>
  <c r="AQ75" i="5"/>
  <c r="AR75" s="1"/>
  <c r="AS75"/>
  <c r="AT75" s="1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B75"/>
  <c r="CC75"/>
  <c r="CD75"/>
  <c r="AQ59"/>
  <c r="AR59" s="1"/>
  <c r="AS59"/>
  <c r="AT59" s="1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B59"/>
  <c r="CC59"/>
  <c r="CD59"/>
  <c r="AX41" i="6"/>
  <c r="AY41" s="1"/>
  <c r="AZ41"/>
  <c r="BA41" s="1"/>
  <c r="BD41"/>
  <c r="BE41"/>
  <c r="BF41"/>
  <c r="BG41"/>
  <c r="BH41"/>
  <c r="BI41"/>
  <c r="BJ41"/>
  <c r="BK41"/>
  <c r="BL41"/>
  <c r="BM41"/>
  <c r="AX20"/>
  <c r="AZ20"/>
  <c r="BD20"/>
  <c r="BE20"/>
  <c r="BF20"/>
  <c r="BG20"/>
  <c r="BH20"/>
  <c r="BI20"/>
  <c r="BJ20"/>
  <c r="BK20"/>
  <c r="BL20"/>
  <c r="BM20"/>
  <c r="AX12"/>
  <c r="AZ12"/>
  <c r="BD12"/>
  <c r="BE12"/>
  <c r="BF12"/>
  <c r="BG12"/>
  <c r="BH12"/>
  <c r="BI12"/>
  <c r="BJ12"/>
  <c r="BK12"/>
  <c r="BL12"/>
  <c r="BM12"/>
  <c r="AX35"/>
  <c r="AY35" s="1"/>
  <c r="AZ35"/>
  <c r="BA35" s="1"/>
  <c r="BD35"/>
  <c r="BE35"/>
  <c r="BF35"/>
  <c r="BG35"/>
  <c r="BH35"/>
  <c r="BI35"/>
  <c r="BJ35"/>
  <c r="BK35"/>
  <c r="BL35"/>
  <c r="BM35"/>
  <c r="AX31"/>
  <c r="AZ31"/>
  <c r="BD31"/>
  <c r="BE31"/>
  <c r="BF31"/>
  <c r="BG31"/>
  <c r="BH31"/>
  <c r="BI31"/>
  <c r="BJ31"/>
  <c r="BK31"/>
  <c r="BL31"/>
  <c r="BM31"/>
  <c r="AX70"/>
  <c r="AZ70"/>
  <c r="BD70"/>
  <c r="BE70"/>
  <c r="BF70"/>
  <c r="BG70"/>
  <c r="BH70"/>
  <c r="BI70"/>
  <c r="BJ70"/>
  <c r="BK70"/>
  <c r="BL70"/>
  <c r="BM70"/>
  <c r="AX68"/>
  <c r="AZ68"/>
  <c r="BD68"/>
  <c r="BE68"/>
  <c r="BF68"/>
  <c r="BG68"/>
  <c r="BH68"/>
  <c r="BI68"/>
  <c r="BJ68"/>
  <c r="BK68"/>
  <c r="BL68"/>
  <c r="BM68"/>
  <c r="AX18"/>
  <c r="AZ18"/>
  <c r="BD18"/>
  <c r="BE18"/>
  <c r="BF18"/>
  <c r="BG18"/>
  <c r="BH18"/>
  <c r="BI18"/>
  <c r="BJ18"/>
  <c r="BK18"/>
  <c r="BL18"/>
  <c r="BM18"/>
  <c r="AX22"/>
  <c r="AZ22"/>
  <c r="BD22"/>
  <c r="BE22"/>
  <c r="BF22"/>
  <c r="BG22"/>
  <c r="BH22"/>
  <c r="BI22"/>
  <c r="BJ22"/>
  <c r="BK22"/>
  <c r="BL22"/>
  <c r="BM22"/>
  <c r="AX71"/>
  <c r="AY71" s="1"/>
  <c r="AZ71"/>
  <c r="BA71" s="1"/>
  <c r="BD71"/>
  <c r="BE71"/>
  <c r="BF71"/>
  <c r="BG71"/>
  <c r="BH71"/>
  <c r="BI71"/>
  <c r="BJ71"/>
  <c r="BK71"/>
  <c r="BL71"/>
  <c r="BM71"/>
  <c r="AX15"/>
  <c r="AZ15"/>
  <c r="BD15"/>
  <c r="BE15"/>
  <c r="BF15"/>
  <c r="BG15"/>
  <c r="BH15"/>
  <c r="BI15"/>
  <c r="BJ15"/>
  <c r="BK15"/>
  <c r="BL15"/>
  <c r="BM15"/>
  <c r="AX14"/>
  <c r="AZ14"/>
  <c r="BD14"/>
  <c r="BE14"/>
  <c r="BF14"/>
  <c r="BG14"/>
  <c r="BH14"/>
  <c r="BI14"/>
  <c r="BJ14"/>
  <c r="BK14"/>
  <c r="BL14"/>
  <c r="BM14"/>
  <c r="AX25"/>
  <c r="AZ25"/>
  <c r="BD25"/>
  <c r="BE25"/>
  <c r="BF25"/>
  <c r="BG25"/>
  <c r="BH25"/>
  <c r="BI25"/>
  <c r="BJ25"/>
  <c r="BK25"/>
  <c r="BL25"/>
  <c r="BM25"/>
  <c r="AX63"/>
  <c r="AC51" i="30" s="1"/>
  <c r="AZ63" i="6"/>
  <c r="AG51" i="30" s="1"/>
  <c r="BD63" i="6"/>
  <c r="BE63"/>
  <c r="BF63"/>
  <c r="BG63"/>
  <c r="BH63"/>
  <c r="BI63"/>
  <c r="BJ63"/>
  <c r="BK63"/>
  <c r="BL63"/>
  <c r="BM63"/>
  <c r="AX52"/>
  <c r="AZ52"/>
  <c r="BD52"/>
  <c r="BE52"/>
  <c r="BF52"/>
  <c r="BG52"/>
  <c r="BH52"/>
  <c r="BI52"/>
  <c r="BJ52"/>
  <c r="BK52"/>
  <c r="BL52"/>
  <c r="BM52"/>
  <c r="AX16"/>
  <c r="AZ16"/>
  <c r="BD16"/>
  <c r="BE16"/>
  <c r="BF16"/>
  <c r="BG16"/>
  <c r="BH16"/>
  <c r="BI16"/>
  <c r="BJ16"/>
  <c r="BK16"/>
  <c r="BL16"/>
  <c r="BM16"/>
  <c r="AX54"/>
  <c r="AZ54"/>
  <c r="BD54"/>
  <c r="BE54"/>
  <c r="BF54"/>
  <c r="BG54"/>
  <c r="BH54"/>
  <c r="BI54"/>
  <c r="BJ54"/>
  <c r="BK54"/>
  <c r="BL54"/>
  <c r="BM54"/>
  <c r="AX39"/>
  <c r="AY39" s="1"/>
  <c r="AZ39"/>
  <c r="BA39" s="1"/>
  <c r="BD39"/>
  <c r="BE39"/>
  <c r="BF39"/>
  <c r="BG39"/>
  <c r="BH39"/>
  <c r="BI39"/>
  <c r="BJ39"/>
  <c r="BK39"/>
  <c r="BL39"/>
  <c r="BM39"/>
  <c r="AX84"/>
  <c r="AY84" s="1"/>
  <c r="AZ84"/>
  <c r="BA84" s="1"/>
  <c r="BD84"/>
  <c r="BE84"/>
  <c r="BF84"/>
  <c r="BG84"/>
  <c r="BH84"/>
  <c r="BI84"/>
  <c r="BJ84"/>
  <c r="BK84"/>
  <c r="BL84"/>
  <c r="BM84"/>
  <c r="AX40"/>
  <c r="AY40" s="1"/>
  <c r="AZ40"/>
  <c r="BA40" s="1"/>
  <c r="BD40"/>
  <c r="BE40"/>
  <c r="BF40"/>
  <c r="BG40"/>
  <c r="BH40"/>
  <c r="BI40"/>
  <c r="BJ40"/>
  <c r="BK40"/>
  <c r="BL40"/>
  <c r="BM40"/>
  <c r="AX55"/>
  <c r="AZ55"/>
  <c r="BD55"/>
  <c r="BE55"/>
  <c r="BF55"/>
  <c r="BG55"/>
  <c r="BH55"/>
  <c r="BI55"/>
  <c r="BJ55"/>
  <c r="BK55"/>
  <c r="BL55"/>
  <c r="BM55"/>
  <c r="AX26"/>
  <c r="AZ26"/>
  <c r="BD26"/>
  <c r="BE26"/>
  <c r="BF26"/>
  <c r="BG26"/>
  <c r="BH26"/>
  <c r="BI26"/>
  <c r="BJ26"/>
  <c r="BK26"/>
  <c r="BL26"/>
  <c r="BM26"/>
  <c r="AX49"/>
  <c r="AY49" s="1"/>
  <c r="AZ49"/>
  <c r="BA49" s="1"/>
  <c r="BD49"/>
  <c r="BE49"/>
  <c r="BF49"/>
  <c r="BG49"/>
  <c r="BH49"/>
  <c r="BI49"/>
  <c r="BJ49"/>
  <c r="BK49"/>
  <c r="BL49"/>
  <c r="BM49"/>
  <c r="AX74"/>
  <c r="AZ74"/>
  <c r="BD74"/>
  <c r="BE74"/>
  <c r="BF74"/>
  <c r="BG74"/>
  <c r="BH74"/>
  <c r="BI74"/>
  <c r="BJ74"/>
  <c r="BK74"/>
  <c r="BL74"/>
  <c r="BM74"/>
  <c r="AX24"/>
  <c r="AZ24"/>
  <c r="BD24"/>
  <c r="BE24"/>
  <c r="BF24"/>
  <c r="BG24"/>
  <c r="BH24"/>
  <c r="BI24"/>
  <c r="BJ24"/>
  <c r="BK24"/>
  <c r="BL24"/>
  <c r="BM24"/>
  <c r="AX87"/>
  <c r="AY87" s="1"/>
  <c r="AZ87"/>
  <c r="BA87" s="1"/>
  <c r="BD87"/>
  <c r="BE87"/>
  <c r="BF87"/>
  <c r="BG87"/>
  <c r="BH87"/>
  <c r="BI87"/>
  <c r="BJ87"/>
  <c r="BK87"/>
  <c r="BL87"/>
  <c r="BM87"/>
  <c r="AX21"/>
  <c r="AZ21"/>
  <c r="BD21"/>
  <c r="BE21"/>
  <c r="BF21"/>
  <c r="BG21"/>
  <c r="BH21"/>
  <c r="BI21"/>
  <c r="BJ21"/>
  <c r="BK21"/>
  <c r="BL21"/>
  <c r="BM21"/>
  <c r="AX82"/>
  <c r="AY82" s="1"/>
  <c r="AZ82"/>
  <c r="BA82" s="1"/>
  <c r="BD82"/>
  <c r="BE82"/>
  <c r="BF82"/>
  <c r="BG82"/>
  <c r="BH82"/>
  <c r="BI82"/>
  <c r="BJ82"/>
  <c r="BK82"/>
  <c r="BL82"/>
  <c r="BM82"/>
  <c r="AX23"/>
  <c r="AZ23"/>
  <c r="BD23"/>
  <c r="BE23"/>
  <c r="BF23"/>
  <c r="BG23"/>
  <c r="BH23"/>
  <c r="BI23"/>
  <c r="BJ23"/>
  <c r="BK23"/>
  <c r="BL23"/>
  <c r="BM23"/>
  <c r="AX38"/>
  <c r="AY38" s="1"/>
  <c r="AZ38"/>
  <c r="BA38" s="1"/>
  <c r="BD38"/>
  <c r="BE38"/>
  <c r="BF38"/>
  <c r="BG38"/>
  <c r="BH38"/>
  <c r="BI38"/>
  <c r="BJ38"/>
  <c r="BK38"/>
  <c r="BL38"/>
  <c r="BM38"/>
  <c r="AX75"/>
  <c r="AC69" i="32" s="1"/>
  <c r="AZ75" i="6"/>
  <c r="AG69" i="32" s="1"/>
  <c r="BD75" i="6"/>
  <c r="BE75"/>
  <c r="BF75"/>
  <c r="BG75"/>
  <c r="BH75"/>
  <c r="BI75"/>
  <c r="BJ75"/>
  <c r="BK75"/>
  <c r="BL75"/>
  <c r="BM75"/>
  <c r="AX27"/>
  <c r="AZ27"/>
  <c r="BD27"/>
  <c r="BE27"/>
  <c r="BF27"/>
  <c r="BG27"/>
  <c r="BH27"/>
  <c r="BI27"/>
  <c r="BJ27"/>
  <c r="BK27"/>
  <c r="BL27"/>
  <c r="BM27"/>
  <c r="AX88"/>
  <c r="AY88" s="1"/>
  <c r="AZ88"/>
  <c r="BA88" s="1"/>
  <c r="BD88"/>
  <c r="BE88"/>
  <c r="BF88"/>
  <c r="BG88"/>
  <c r="BH88"/>
  <c r="BI88"/>
  <c r="BJ88"/>
  <c r="BK88"/>
  <c r="BL88"/>
  <c r="BM88"/>
  <c r="AX29"/>
  <c r="AZ29"/>
  <c r="BD29"/>
  <c r="BE29"/>
  <c r="BF29"/>
  <c r="BG29"/>
  <c r="BH29"/>
  <c r="BI29"/>
  <c r="BJ29"/>
  <c r="BK29"/>
  <c r="BL29"/>
  <c r="BM29"/>
  <c r="AX83"/>
  <c r="AY83" s="1"/>
  <c r="AZ83"/>
  <c r="BA83" s="1"/>
  <c r="BD83"/>
  <c r="BE83"/>
  <c r="BF83"/>
  <c r="BG83"/>
  <c r="BH83"/>
  <c r="BI83"/>
  <c r="BJ83"/>
  <c r="BK83"/>
  <c r="BL83"/>
  <c r="BM83"/>
  <c r="AX79"/>
  <c r="AY79" s="1"/>
  <c r="AZ79"/>
  <c r="BA79" s="1"/>
  <c r="BD79"/>
  <c r="BE79"/>
  <c r="BF79"/>
  <c r="BG79"/>
  <c r="BH79"/>
  <c r="BI79"/>
  <c r="BJ79"/>
  <c r="BK79"/>
  <c r="BL79"/>
  <c r="BM79"/>
  <c r="AX37"/>
  <c r="AZ37"/>
  <c r="BD37"/>
  <c r="BE37"/>
  <c r="BF37"/>
  <c r="BG37"/>
  <c r="BH37"/>
  <c r="BI37"/>
  <c r="BJ37"/>
  <c r="BK37"/>
  <c r="BL37"/>
  <c r="BM37"/>
  <c r="AX42"/>
  <c r="AZ42"/>
  <c r="BD42"/>
  <c r="BE42"/>
  <c r="BF42"/>
  <c r="BG42"/>
  <c r="BH42"/>
  <c r="BI42"/>
  <c r="BJ42"/>
  <c r="BK42"/>
  <c r="BL42"/>
  <c r="BM42"/>
  <c r="AX64"/>
  <c r="AZ64"/>
  <c r="BD64"/>
  <c r="BE64"/>
  <c r="BF64"/>
  <c r="BG64"/>
  <c r="BH64"/>
  <c r="BI64"/>
  <c r="BJ64"/>
  <c r="BK64"/>
  <c r="BL64"/>
  <c r="BM64"/>
  <c r="AX43"/>
  <c r="AC68" i="33" s="1"/>
  <c r="AZ43" i="6"/>
  <c r="AG68" i="33" s="1"/>
  <c r="BD43" i="6"/>
  <c r="BE43"/>
  <c r="BF43"/>
  <c r="BG43"/>
  <c r="BH43"/>
  <c r="BI43"/>
  <c r="BJ43"/>
  <c r="BK43"/>
  <c r="BL43"/>
  <c r="BM43"/>
  <c r="AX48"/>
  <c r="AY48" s="1"/>
  <c r="AZ48"/>
  <c r="BA48" s="1"/>
  <c r="BD48"/>
  <c r="BE48"/>
  <c r="BF48"/>
  <c r="BG48"/>
  <c r="BH48"/>
  <c r="BI48"/>
  <c r="BJ48"/>
  <c r="BK48"/>
  <c r="BL48"/>
  <c r="BM48"/>
  <c r="AX72"/>
  <c r="AZ72"/>
  <c r="BD72"/>
  <c r="BE72"/>
  <c r="BF72"/>
  <c r="BG72"/>
  <c r="BH72"/>
  <c r="BI72"/>
  <c r="BJ72"/>
  <c r="BK72"/>
  <c r="BL72"/>
  <c r="BM72"/>
  <c r="AX45"/>
  <c r="AY45" s="1"/>
  <c r="AZ45"/>
  <c r="BA45" s="1"/>
  <c r="BD45"/>
  <c r="BE45"/>
  <c r="BF45"/>
  <c r="BG45"/>
  <c r="BH45"/>
  <c r="BI45"/>
  <c r="BJ45"/>
  <c r="BK45"/>
  <c r="BL45"/>
  <c r="BM45"/>
  <c r="AX86"/>
  <c r="AY86" s="1"/>
  <c r="AZ86"/>
  <c r="BA86" s="1"/>
  <c r="BD86"/>
  <c r="BE86"/>
  <c r="BF86"/>
  <c r="BG86"/>
  <c r="BH86"/>
  <c r="BI86"/>
  <c r="BJ86"/>
  <c r="BK86"/>
  <c r="BL86"/>
  <c r="BM86"/>
  <c r="AX61"/>
  <c r="AZ61"/>
  <c r="BD61"/>
  <c r="BE61"/>
  <c r="BF61"/>
  <c r="BG61"/>
  <c r="BH61"/>
  <c r="BI61"/>
  <c r="BJ61"/>
  <c r="BK61"/>
  <c r="BL61"/>
  <c r="BM61"/>
  <c r="AX28"/>
  <c r="AZ28"/>
  <c r="BD28"/>
  <c r="BE28"/>
  <c r="BF28"/>
  <c r="BG28"/>
  <c r="BH28"/>
  <c r="BI28"/>
  <c r="BJ28"/>
  <c r="BK28"/>
  <c r="BL28"/>
  <c r="BM28"/>
  <c r="AX46"/>
  <c r="AY46" s="1"/>
  <c r="AZ46"/>
  <c r="BA46" s="1"/>
  <c r="BD46"/>
  <c r="BE46"/>
  <c r="BF46"/>
  <c r="BG46"/>
  <c r="BH46"/>
  <c r="BI46"/>
  <c r="BJ46"/>
  <c r="BK46"/>
  <c r="BL46"/>
  <c r="BM46"/>
  <c r="AX30"/>
  <c r="AZ30"/>
  <c r="BD30"/>
  <c r="BE30"/>
  <c r="BF30"/>
  <c r="BG30"/>
  <c r="BH30"/>
  <c r="BI30"/>
  <c r="BJ30"/>
  <c r="BK30"/>
  <c r="BL30"/>
  <c r="BM30"/>
  <c r="AX36"/>
  <c r="AY36" s="1"/>
  <c r="AZ36"/>
  <c r="BA36" s="1"/>
  <c r="BD36"/>
  <c r="BE36"/>
  <c r="BF36"/>
  <c r="BG36"/>
  <c r="BH36"/>
  <c r="BI36"/>
  <c r="BJ36"/>
  <c r="BK36"/>
  <c r="BL36"/>
  <c r="BM36"/>
  <c r="AX62"/>
  <c r="AY62" s="1"/>
  <c r="AZ62"/>
  <c r="BD62"/>
  <c r="BE62"/>
  <c r="BF62"/>
  <c r="BG62"/>
  <c r="BH62"/>
  <c r="BI62"/>
  <c r="BJ62"/>
  <c r="BK62"/>
  <c r="BL62"/>
  <c r="BM62"/>
  <c r="AX81"/>
  <c r="AY81" s="1"/>
  <c r="AZ81"/>
  <c r="BA81" s="1"/>
  <c r="BD81"/>
  <c r="BE81"/>
  <c r="BF81"/>
  <c r="BG81"/>
  <c r="BH81"/>
  <c r="BI81"/>
  <c r="BJ81"/>
  <c r="BK81"/>
  <c r="BL81"/>
  <c r="BM81"/>
  <c r="AX51"/>
  <c r="AC52" i="32" s="1"/>
  <c r="AZ51" i="6"/>
  <c r="AG52" i="32" s="1"/>
  <c r="BD51" i="6"/>
  <c r="BE51"/>
  <c r="BF51"/>
  <c r="BG51"/>
  <c r="BH51"/>
  <c r="BI51"/>
  <c r="BJ51"/>
  <c r="BK51"/>
  <c r="BL51"/>
  <c r="BM51"/>
  <c r="AX11"/>
  <c r="AZ11"/>
  <c r="BD11"/>
  <c r="BE11"/>
  <c r="BF11"/>
  <c r="BG11"/>
  <c r="BH11"/>
  <c r="BI11"/>
  <c r="BJ11"/>
  <c r="BK11"/>
  <c r="BL11"/>
  <c r="BM11"/>
  <c r="AX32"/>
  <c r="AZ32"/>
  <c r="BD32"/>
  <c r="BE32"/>
  <c r="BF32"/>
  <c r="BG32"/>
  <c r="BH32"/>
  <c r="BI32"/>
  <c r="BJ32"/>
  <c r="BK32"/>
  <c r="BL32"/>
  <c r="BM32"/>
  <c r="AX60"/>
  <c r="AZ60"/>
  <c r="BD60"/>
  <c r="BE60"/>
  <c r="BF60"/>
  <c r="BG60"/>
  <c r="BH60"/>
  <c r="BI60"/>
  <c r="BJ60"/>
  <c r="BK60"/>
  <c r="BL60"/>
  <c r="BM60"/>
  <c r="AX59"/>
  <c r="AZ59"/>
  <c r="BD59"/>
  <c r="BE59"/>
  <c r="BF59"/>
  <c r="BG59"/>
  <c r="BH59"/>
  <c r="BI59"/>
  <c r="BJ59"/>
  <c r="BK59"/>
  <c r="BL59"/>
  <c r="BM59"/>
  <c r="AX56"/>
  <c r="AZ56"/>
  <c r="BD56"/>
  <c r="BE56"/>
  <c r="BF56"/>
  <c r="BG56"/>
  <c r="BH56"/>
  <c r="BI56"/>
  <c r="BJ56"/>
  <c r="BK56"/>
  <c r="BL56"/>
  <c r="BM56"/>
  <c r="AQ42" i="5"/>
  <c r="AR42" s="1"/>
  <c r="AS42"/>
  <c r="AT42" s="1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B42"/>
  <c r="CC42"/>
  <c r="CD42"/>
  <c r="AQ26"/>
  <c r="AR26" s="1"/>
  <c r="AS26"/>
  <c r="AT26" s="1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B26"/>
  <c r="CC26"/>
  <c r="CD26"/>
  <c r="AQ62"/>
  <c r="AR62" s="1"/>
  <c r="AS62"/>
  <c r="AT62" s="1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B62"/>
  <c r="CC62"/>
  <c r="CD62"/>
  <c r="AQ65"/>
  <c r="AR65" s="1"/>
  <c r="AS65"/>
  <c r="AT65" s="1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B65"/>
  <c r="CC65"/>
  <c r="CD65"/>
  <c r="AQ53"/>
  <c r="AR53" s="1"/>
  <c r="AS53"/>
  <c r="AT53" s="1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B53"/>
  <c r="CC53"/>
  <c r="CD53"/>
  <c r="AQ13"/>
  <c r="AR13" s="1"/>
  <c r="AS13"/>
  <c r="AT13" s="1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B13"/>
  <c r="CC13"/>
  <c r="CD13"/>
  <c r="AQ14"/>
  <c r="AR14" s="1"/>
  <c r="AS14"/>
  <c r="AT14" s="1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B14"/>
  <c r="CC14"/>
  <c r="CD14"/>
  <c r="AQ90"/>
  <c r="AR90" s="1"/>
  <c r="AS90"/>
  <c r="AT90" s="1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B90"/>
  <c r="CC90"/>
  <c r="CD90"/>
  <c r="AQ47"/>
  <c r="AR47" s="1"/>
  <c r="AS47"/>
  <c r="AT47" s="1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B47"/>
  <c r="CC47"/>
  <c r="CD47"/>
  <c r="AQ56"/>
  <c r="AR56" s="1"/>
  <c r="AS56"/>
  <c r="AT56" s="1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B56"/>
  <c r="CC56"/>
  <c r="CD56"/>
  <c r="AQ82"/>
  <c r="AR82" s="1"/>
  <c r="AS82"/>
  <c r="AT82" s="1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B82"/>
  <c r="CC82"/>
  <c r="CD82"/>
  <c r="AQ21"/>
  <c r="AR21" s="1"/>
  <c r="AS21"/>
  <c r="AT21" s="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B21"/>
  <c r="CC21"/>
  <c r="CD21"/>
  <c r="AQ34"/>
  <c r="AR34" s="1"/>
  <c r="AS34"/>
  <c r="AT34" s="1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B34"/>
  <c r="CC34"/>
  <c r="CD34"/>
  <c r="AQ72"/>
  <c r="AR72" s="1"/>
  <c r="AS72"/>
  <c r="AT72" s="1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B72"/>
  <c r="CC72"/>
  <c r="CD72"/>
  <c r="AQ27"/>
  <c r="AR27" s="1"/>
  <c r="AS27"/>
  <c r="AT27" s="1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B27"/>
  <c r="CC27"/>
  <c r="CD27"/>
  <c r="AQ35"/>
  <c r="AR35" s="1"/>
  <c r="AS35"/>
  <c r="AT35" s="1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B35"/>
  <c r="CC35"/>
  <c r="CD35"/>
  <c r="AQ49"/>
  <c r="AR49" s="1"/>
  <c r="AS49"/>
  <c r="AT49" s="1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B49"/>
  <c r="CC49"/>
  <c r="CD49"/>
  <c r="AQ92"/>
  <c r="AR92" s="1"/>
  <c r="AS92"/>
  <c r="AT92" s="1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B92"/>
  <c r="CC92"/>
  <c r="CD92"/>
  <c r="AQ38"/>
  <c r="AR38" s="1"/>
  <c r="AS38"/>
  <c r="AT38" s="1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B38"/>
  <c r="CC38"/>
  <c r="CD38"/>
  <c r="AQ51"/>
  <c r="AR51" s="1"/>
  <c r="AS51"/>
  <c r="AT51" s="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B51"/>
  <c r="CC51"/>
  <c r="CD51"/>
  <c r="AQ36"/>
  <c r="AR36" s="1"/>
  <c r="AS36"/>
  <c r="AT36" s="1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B36"/>
  <c r="CC36"/>
  <c r="CD36"/>
  <c r="AQ18"/>
  <c r="AR18" s="1"/>
  <c r="AS18"/>
  <c r="AT18" s="1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B18"/>
  <c r="CC18"/>
  <c r="CD18"/>
  <c r="AQ71"/>
  <c r="AR71" s="1"/>
  <c r="AS71"/>
  <c r="AT71" s="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B71"/>
  <c r="CC71"/>
  <c r="CD71"/>
  <c r="AQ19"/>
  <c r="AR19" s="1"/>
  <c r="AS19"/>
  <c r="AT19" s="1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B19"/>
  <c r="CC19"/>
  <c r="CD19"/>
  <c r="AQ84"/>
  <c r="AR84" s="1"/>
  <c r="AS84"/>
  <c r="AT84" s="1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B84"/>
  <c r="CC84"/>
  <c r="CD84"/>
  <c r="AQ31"/>
  <c r="AR31" s="1"/>
  <c r="AS31"/>
  <c r="AT31" s="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B31"/>
  <c r="CC31"/>
  <c r="CD31"/>
  <c r="AQ58"/>
  <c r="AR58" s="1"/>
  <c r="AS58"/>
  <c r="AT58" s="1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B58"/>
  <c r="CC58"/>
  <c r="CD58"/>
  <c r="AQ24"/>
  <c r="AR24" s="1"/>
  <c r="AS24"/>
  <c r="AT24" s="1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B24"/>
  <c r="CC24"/>
  <c r="CD24"/>
  <c r="AQ52"/>
  <c r="AR52" s="1"/>
  <c r="AS52"/>
  <c r="AT52" s="1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B52"/>
  <c r="CC52"/>
  <c r="CD52"/>
  <c r="AQ60"/>
  <c r="AR60" s="1"/>
  <c r="AS60"/>
  <c r="AT60" s="1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B60"/>
  <c r="CC60"/>
  <c r="CD60"/>
  <c r="AQ45"/>
  <c r="AR45" s="1"/>
  <c r="AS45"/>
  <c r="AT45" s="1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B45"/>
  <c r="CC45"/>
  <c r="CD45"/>
  <c r="AQ66"/>
  <c r="AR66" s="1"/>
  <c r="AS66"/>
  <c r="AT66" s="1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B66"/>
  <c r="CC66"/>
  <c r="CD66"/>
  <c r="AQ37"/>
  <c r="AR37" s="1"/>
  <c r="AS37"/>
  <c r="AT37" s="1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B37"/>
  <c r="CC37"/>
  <c r="CD37"/>
  <c r="AQ28"/>
  <c r="AR28" s="1"/>
  <c r="AS28"/>
  <c r="AT28" s="1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B28"/>
  <c r="CC28"/>
  <c r="CD28"/>
  <c r="AQ91"/>
  <c r="AR91" s="1"/>
  <c r="AS91"/>
  <c r="AT91" s="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BU91"/>
  <c r="BV91"/>
  <c r="BW91"/>
  <c r="BX91"/>
  <c r="BY91"/>
  <c r="BZ91"/>
  <c r="CB91"/>
  <c r="CC91"/>
  <c r="CD91"/>
  <c r="AQ57"/>
  <c r="AR57" s="1"/>
  <c r="AS57"/>
  <c r="AT57" s="1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B57"/>
  <c r="CC57"/>
  <c r="CD57"/>
  <c r="AQ43"/>
  <c r="AR43" s="1"/>
  <c r="AS43"/>
  <c r="AT43" s="1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B43"/>
  <c r="CC43"/>
  <c r="CD43"/>
  <c r="AQ33"/>
  <c r="AR33" s="1"/>
  <c r="AS33"/>
  <c r="AT33" s="1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B33"/>
  <c r="CC33"/>
  <c r="CD33"/>
  <c r="AQ63"/>
  <c r="AR63" s="1"/>
  <c r="AS63"/>
  <c r="AT63" s="1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B63"/>
  <c r="CC63"/>
  <c r="CD63"/>
  <c r="AQ86"/>
  <c r="AR86" s="1"/>
  <c r="AS86"/>
  <c r="AT86" s="1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B86"/>
  <c r="CC86"/>
  <c r="CD86"/>
  <c r="AQ68"/>
  <c r="AR68" s="1"/>
  <c r="AS68"/>
  <c r="AT68" s="1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B68"/>
  <c r="CC68"/>
  <c r="CD68"/>
  <c r="AQ88"/>
  <c r="AR88" s="1"/>
  <c r="AS88"/>
  <c r="AT88" s="1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B88"/>
  <c r="CC88"/>
  <c r="CD88"/>
  <c r="AQ12"/>
  <c r="AR12" s="1"/>
  <c r="AS12"/>
  <c r="AT12" s="1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B12"/>
  <c r="CC12"/>
  <c r="CD12"/>
  <c r="AQ22"/>
  <c r="AR22" s="1"/>
  <c r="AS22"/>
  <c r="AT22" s="1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B22"/>
  <c r="CC22"/>
  <c r="CD22"/>
  <c r="AQ73"/>
  <c r="AR73" s="1"/>
  <c r="AS73"/>
  <c r="AT73" s="1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B73"/>
  <c r="CC73"/>
  <c r="CD73"/>
  <c r="AQ11"/>
  <c r="AR11" s="1"/>
  <c r="AS11"/>
  <c r="AT11" s="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B11"/>
  <c r="CC11"/>
  <c r="CD11"/>
  <c r="AQ74"/>
  <c r="AR74" s="1"/>
  <c r="AS74"/>
  <c r="AT74" s="1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B74"/>
  <c r="CC74"/>
  <c r="CD74"/>
  <c r="AQ67"/>
  <c r="AR67" s="1"/>
  <c r="AS67"/>
  <c r="AT67" s="1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B67"/>
  <c r="CC67"/>
  <c r="CD67"/>
  <c r="AQ55"/>
  <c r="AR55" s="1"/>
  <c r="AS55"/>
  <c r="AT55" s="1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B55"/>
  <c r="CC55"/>
  <c r="CD55"/>
  <c r="AQ87"/>
  <c r="AR87" s="1"/>
  <c r="AS87"/>
  <c r="AT87" s="1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B87"/>
  <c r="CC87"/>
  <c r="CD87"/>
  <c r="AQ16"/>
  <c r="AR16" s="1"/>
  <c r="AS16"/>
  <c r="AT16" s="1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B16"/>
  <c r="CC16"/>
  <c r="CD16"/>
  <c r="AQ50"/>
  <c r="AR50" s="1"/>
  <c r="AS50"/>
  <c r="AT50" s="1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B50"/>
  <c r="CC50"/>
  <c r="CD50"/>
  <c r="AQ20"/>
  <c r="AR20" s="1"/>
  <c r="AS20"/>
  <c r="AT20" s="1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B20"/>
  <c r="CC20"/>
  <c r="CD20"/>
  <c r="AQ32"/>
  <c r="AR32" s="1"/>
  <c r="AS32"/>
  <c r="AT32" s="1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B32"/>
  <c r="CC32"/>
  <c r="CD32"/>
  <c r="AQ80"/>
  <c r="AR80" s="1"/>
  <c r="AS80"/>
  <c r="AT80" s="1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B80"/>
  <c r="CC80"/>
  <c r="CD80"/>
  <c r="AQ64"/>
  <c r="AR64" s="1"/>
  <c r="AS64"/>
  <c r="AT64" s="1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BY64"/>
  <c r="BZ64"/>
  <c r="CB64"/>
  <c r="CC64"/>
  <c r="CD64"/>
  <c r="AQ41"/>
  <c r="AR41" s="1"/>
  <c r="AS41"/>
  <c r="AT41" s="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B41"/>
  <c r="CC41"/>
  <c r="CD41"/>
  <c r="F85" i="7"/>
  <c r="G85" s="1"/>
  <c r="AG65" i="32" l="1"/>
  <c r="AG55" i="30"/>
  <c r="H68" i="33"/>
  <c r="F68"/>
  <c r="G68"/>
  <c r="AG68" i="32"/>
  <c r="AG66" i="30"/>
  <c r="H51"/>
  <c r="G51"/>
  <c r="F51"/>
  <c r="AC65" i="32"/>
  <c r="AC55" i="30"/>
  <c r="AC68" i="32"/>
  <c r="AC66" i="30"/>
  <c r="BA42" i="6"/>
  <c r="AG65" i="33"/>
  <c r="AY42" i="6"/>
  <c r="AC65" i="33"/>
  <c r="BA32" i="6"/>
  <c r="AG67" i="34"/>
  <c r="BA30" i="6"/>
  <c r="AG63" i="34"/>
  <c r="BA28" i="6"/>
  <c r="AG65" i="34"/>
  <c r="BA29" i="6"/>
  <c r="AG54" i="34"/>
  <c r="BA27" i="6"/>
  <c r="AG64" i="34"/>
  <c r="BA23" i="6"/>
  <c r="AG51" i="34"/>
  <c r="BA24" i="6"/>
  <c r="AG52" i="34"/>
  <c r="BA26" i="6"/>
  <c r="AG55" i="34"/>
  <c r="BA25" i="6"/>
  <c r="AG53" i="34"/>
  <c r="BA31" i="6"/>
  <c r="AG66" i="34"/>
  <c r="AY32" i="6"/>
  <c r="AC67" i="34"/>
  <c r="AY30" i="6"/>
  <c r="AC63" i="34"/>
  <c r="AY28" i="6"/>
  <c r="AC65" i="34"/>
  <c r="AY29" i="6"/>
  <c r="AC54" i="34"/>
  <c r="AY27" i="6"/>
  <c r="AC64" i="34"/>
  <c r="AY23" i="6"/>
  <c r="AC51" i="34"/>
  <c r="AY24" i="6"/>
  <c r="AC52" i="34"/>
  <c r="AY26" i="6"/>
  <c r="AC55" i="34"/>
  <c r="AY25" i="6"/>
  <c r="AC53" i="34"/>
  <c r="AY31" i="6"/>
  <c r="AC66" i="34"/>
  <c r="AY56" i="6"/>
  <c r="AC64" i="33"/>
  <c r="AC64" i="32"/>
  <c r="AY59" i="6"/>
  <c r="AC55" i="33"/>
  <c r="AC55" i="32"/>
  <c r="AY60" i="6"/>
  <c r="AC66" i="33"/>
  <c r="AC66" i="32"/>
  <c r="AY61" i="6"/>
  <c r="AC67" i="33"/>
  <c r="AY43" i="6"/>
  <c r="AC59" i="33"/>
  <c r="AC59" i="32"/>
  <c r="AY37" i="6"/>
  <c r="AC51" i="33"/>
  <c r="AC51" i="32"/>
  <c r="AY55" i="6"/>
  <c r="AC63" i="33"/>
  <c r="AY54" i="6"/>
  <c r="AC54" i="33"/>
  <c r="AY52" i="6"/>
  <c r="AC52" i="33"/>
  <c r="AC67" i="32"/>
  <c r="AC63"/>
  <c r="BA56" i="6"/>
  <c r="AG64" i="33"/>
  <c r="AG64" i="32"/>
  <c r="BA59" i="6"/>
  <c r="AG55" i="33"/>
  <c r="AG55" i="32"/>
  <c r="BA60" i="6"/>
  <c r="AG66" i="33"/>
  <c r="AG66" i="32"/>
  <c r="BA61" i="6"/>
  <c r="AG67" i="33"/>
  <c r="BA43" i="6"/>
  <c r="AG59" i="33"/>
  <c r="AG59" i="32"/>
  <c r="BA37" i="6"/>
  <c r="AG51" i="33"/>
  <c r="AG51" i="32"/>
  <c r="BA55" i="6"/>
  <c r="AG63" i="33"/>
  <c r="BA54" i="6"/>
  <c r="AG54" i="33"/>
  <c r="BA52" i="6"/>
  <c r="AG52" i="33"/>
  <c r="AG67" i="32"/>
  <c r="F67" s="1"/>
  <c r="AG63"/>
  <c r="G63" s="1"/>
  <c r="H52"/>
  <c r="G52"/>
  <c r="F52"/>
  <c r="H65"/>
  <c r="F65"/>
  <c r="G65"/>
  <c r="H69"/>
  <c r="F69"/>
  <c r="G69"/>
  <c r="H68"/>
  <c r="F68"/>
  <c r="G68"/>
  <c r="G67"/>
  <c r="AY11" i="6"/>
  <c r="AC53" i="9"/>
  <c r="AY51" i="6"/>
  <c r="AC52" i="30"/>
  <c r="AY72" i="6"/>
  <c r="AC65" i="30"/>
  <c r="AY64" i="6"/>
  <c r="AC54" i="30"/>
  <c r="AY75" i="6"/>
  <c r="AC69" i="30"/>
  <c r="AY21" i="6"/>
  <c r="AC62" i="9"/>
  <c r="AY74" i="6"/>
  <c r="AC68" i="30"/>
  <c r="AY16" i="6"/>
  <c r="AC67" i="9"/>
  <c r="AY63" i="6"/>
  <c r="AC53" i="30"/>
  <c r="AY14" i="6"/>
  <c r="AC57" i="9"/>
  <c r="AY15" i="6"/>
  <c r="AC56" i="9"/>
  <c r="AY22" i="6"/>
  <c r="AC61" i="9"/>
  <c r="AY18" i="6"/>
  <c r="AC66" i="9"/>
  <c r="AY68" i="6"/>
  <c r="AC67" i="30"/>
  <c r="AY70" i="6"/>
  <c r="AC63" i="30"/>
  <c r="AY12" i="6"/>
  <c r="AC54" i="9"/>
  <c r="AY20" i="6"/>
  <c r="AC69" i="9"/>
  <c r="BA11" i="6"/>
  <c r="AG53" i="9"/>
  <c r="BA51" i="6"/>
  <c r="AG52" i="30"/>
  <c r="BA72" i="6"/>
  <c r="AG65" i="30"/>
  <c r="BA64" i="6"/>
  <c r="AG54" i="30"/>
  <c r="BA75" i="6"/>
  <c r="AG69" i="30"/>
  <c r="BA21" i="6"/>
  <c r="AG62" i="9"/>
  <c r="BA74" i="6"/>
  <c r="AG68" i="30"/>
  <c r="BA16" i="6"/>
  <c r="AG67" i="9"/>
  <c r="BA63" i="6"/>
  <c r="AG53" i="30"/>
  <c r="BA14" i="6"/>
  <c r="AG57" i="9"/>
  <c r="BA15" i="6"/>
  <c r="AG56" i="9"/>
  <c r="BA22" i="6"/>
  <c r="AG61" i="9"/>
  <c r="BA18" i="6"/>
  <c r="AG66" i="9"/>
  <c r="BA68" i="6"/>
  <c r="AG67" i="30"/>
  <c r="BA70" i="6"/>
  <c r="AG63" i="30"/>
  <c r="BA12" i="6"/>
  <c r="AG54" i="9"/>
  <c r="BA20" i="6"/>
  <c r="AG69" i="9"/>
  <c r="C64" i="5"/>
  <c r="D80"/>
  <c r="C87"/>
  <c r="C67"/>
  <c r="D74"/>
  <c r="D73"/>
  <c r="C88"/>
  <c r="C86"/>
  <c r="D91"/>
  <c r="C66"/>
  <c r="D52"/>
  <c r="D84"/>
  <c r="D71"/>
  <c r="C92"/>
  <c r="C72"/>
  <c r="D82"/>
  <c r="D53"/>
  <c r="C65"/>
  <c r="D75"/>
  <c r="D64"/>
  <c r="C80"/>
  <c r="D87"/>
  <c r="D67"/>
  <c r="C74"/>
  <c r="C73"/>
  <c r="D88"/>
  <c r="D86"/>
  <c r="C91"/>
  <c r="D66"/>
  <c r="C52"/>
  <c r="C84"/>
  <c r="C71"/>
  <c r="D92"/>
  <c r="D72"/>
  <c r="C82"/>
  <c r="C53"/>
  <c r="D65"/>
  <c r="C75"/>
  <c r="BB71" i="23"/>
  <c r="BC71" s="1"/>
  <c r="BB24"/>
  <c r="BC24" s="1"/>
  <c r="BB50"/>
  <c r="BC50" s="1"/>
  <c r="BB34"/>
  <c r="BC34" s="1"/>
  <c r="BB22"/>
  <c r="BC22" s="1"/>
  <c r="D11" i="5"/>
  <c r="C11"/>
  <c r="C18"/>
  <c r="D38"/>
  <c r="D21"/>
  <c r="D24"/>
  <c r="D31"/>
  <c r="D41"/>
  <c r="C32"/>
  <c r="D20"/>
  <c r="C50"/>
  <c r="D16"/>
  <c r="D55"/>
  <c r="D22"/>
  <c r="C12"/>
  <c r="C68"/>
  <c r="C63"/>
  <c r="D33"/>
  <c r="C43"/>
  <c r="D57"/>
  <c r="D28"/>
  <c r="C37"/>
  <c r="C45"/>
  <c r="D60"/>
  <c r="C58"/>
  <c r="D19"/>
  <c r="D18"/>
  <c r="C36"/>
  <c r="D51"/>
  <c r="C38"/>
  <c r="C49"/>
  <c r="D35"/>
  <c r="C27"/>
  <c r="C34"/>
  <c r="D56"/>
  <c r="C47"/>
  <c r="D90"/>
  <c r="C14"/>
  <c r="D13"/>
  <c r="C62"/>
  <c r="D26"/>
  <c r="C42"/>
  <c r="D59"/>
  <c r="C41"/>
  <c r="D32"/>
  <c r="C20"/>
  <c r="D50"/>
  <c r="C16"/>
  <c r="C55"/>
  <c r="C22"/>
  <c r="D12"/>
  <c r="D68"/>
  <c r="D63"/>
  <c r="C33"/>
  <c r="D43"/>
  <c r="C57"/>
  <c r="C28"/>
  <c r="D37"/>
  <c r="D45"/>
  <c r="C60"/>
  <c r="C24"/>
  <c r="D58"/>
  <c r="C31"/>
  <c r="C19"/>
  <c r="D36"/>
  <c r="C51"/>
  <c r="D49"/>
  <c r="C35"/>
  <c r="D27"/>
  <c r="D34"/>
  <c r="C21"/>
  <c r="C56"/>
  <c r="D47"/>
  <c r="C90"/>
  <c r="D14"/>
  <c r="C13"/>
  <c r="D62"/>
  <c r="C26"/>
  <c r="D42"/>
  <c r="C59"/>
  <c r="AU59"/>
  <c r="AV59" s="1"/>
  <c r="CA19"/>
  <c r="AU84"/>
  <c r="AV84" s="1"/>
  <c r="AU71"/>
  <c r="AV71" s="1"/>
  <c r="I45" i="7"/>
  <c r="CK50" i="23"/>
  <c r="AU75" i="5"/>
  <c r="AV75" s="1"/>
  <c r="BB61" i="6"/>
  <c r="BC61" s="1"/>
  <c r="BB52"/>
  <c r="BC52" s="1"/>
  <c r="BB38"/>
  <c r="BC38" s="1"/>
  <c r="CA37" i="5"/>
  <c r="CA45"/>
  <c r="AU28"/>
  <c r="AV28" s="1"/>
  <c r="AU66"/>
  <c r="AV66" s="1"/>
  <c r="CA60"/>
  <c r="CA24"/>
  <c r="CA31"/>
  <c r="CA27"/>
  <c r="CA34"/>
  <c r="CA18"/>
  <c r="CA51"/>
  <c r="CA49"/>
  <c r="F45" i="7"/>
  <c r="H45"/>
  <c r="K45"/>
  <c r="AU52" i="5"/>
  <c r="AV52" s="1"/>
  <c r="AU58"/>
  <c r="AV58" s="1"/>
  <c r="AU36"/>
  <c r="AV36" s="1"/>
  <c r="AU38"/>
  <c r="AV38" s="1"/>
  <c r="AU92"/>
  <c r="AV92" s="1"/>
  <c r="AU35"/>
  <c r="AV35" s="1"/>
  <c r="AU72"/>
  <c r="AV72" s="1"/>
  <c r="CA43"/>
  <c r="BB42" i="6"/>
  <c r="BC42" s="1"/>
  <c r="BB49"/>
  <c r="BC49" s="1"/>
  <c r="BB18"/>
  <c r="BC18" s="1"/>
  <c r="BB62"/>
  <c r="BC62" s="1"/>
  <c r="BB30"/>
  <c r="BC30" s="1"/>
  <c r="BB72"/>
  <c r="BC72" s="1"/>
  <c r="BB29"/>
  <c r="BC29" s="1"/>
  <c r="BB87"/>
  <c r="BC87" s="1"/>
  <c r="BB84"/>
  <c r="BC84" s="1"/>
  <c r="BB15"/>
  <c r="BC15" s="1"/>
  <c r="BB31"/>
  <c r="BC31" s="1"/>
  <c r="CK34" i="23"/>
  <c r="CK22"/>
  <c r="CK71"/>
  <c r="CK24"/>
  <c r="AU57" i="5"/>
  <c r="AV57" s="1"/>
  <c r="CA91"/>
  <c r="CA41"/>
  <c r="CA32"/>
  <c r="CA16"/>
  <c r="CA55"/>
  <c r="CA67"/>
  <c r="CA11"/>
  <c r="CA73"/>
  <c r="CA12"/>
  <c r="CA68"/>
  <c r="CA86"/>
  <c r="CA63"/>
  <c r="AU53"/>
  <c r="AV53" s="1"/>
  <c r="AU65"/>
  <c r="AV65" s="1"/>
  <c r="AU62"/>
  <c r="AV62" s="1"/>
  <c r="AU64"/>
  <c r="AV64" s="1"/>
  <c r="AU80"/>
  <c r="AV80" s="1"/>
  <c r="AU20"/>
  <c r="AV20" s="1"/>
  <c r="AU50"/>
  <c r="AV50" s="1"/>
  <c r="AU87"/>
  <c r="AV87" s="1"/>
  <c r="AU74"/>
  <c r="AV74" s="1"/>
  <c r="AU22"/>
  <c r="AV22" s="1"/>
  <c r="AU88"/>
  <c r="AV88" s="1"/>
  <c r="CA59"/>
  <c r="CA75"/>
  <c r="BB32" i="6"/>
  <c r="BC32" s="1"/>
  <c r="BB45"/>
  <c r="BC45" s="1"/>
  <c r="BB43"/>
  <c r="BC43" s="1"/>
  <c r="BB79"/>
  <c r="BC79" s="1"/>
  <c r="BB27"/>
  <c r="BC27" s="1"/>
  <c r="BB82"/>
  <c r="BC82" s="1"/>
  <c r="BB55"/>
  <c r="BC55" s="1"/>
  <c r="BB54"/>
  <c r="BC54" s="1"/>
  <c r="BB25"/>
  <c r="BC25" s="1"/>
  <c r="BB71"/>
  <c r="BC71" s="1"/>
  <c r="BB70"/>
  <c r="BC70" s="1"/>
  <c r="BB12"/>
  <c r="BC12" s="1"/>
  <c r="BN56"/>
  <c r="BN60"/>
  <c r="BN81"/>
  <c r="BN36"/>
  <c r="BN11"/>
  <c r="BB51"/>
  <c r="BC51" s="1"/>
  <c r="BN46"/>
  <c r="BB46"/>
  <c r="BC46" s="1"/>
  <c r="BN28"/>
  <c r="BB28"/>
  <c r="BC28" s="1"/>
  <c r="BN86"/>
  <c r="BB86"/>
  <c r="BC86" s="1"/>
  <c r="BN48"/>
  <c r="BB48"/>
  <c r="BC48" s="1"/>
  <c r="BN64"/>
  <c r="BB64"/>
  <c r="BC64" s="1"/>
  <c r="BN37"/>
  <c r="BB37"/>
  <c r="BC37" s="1"/>
  <c r="BN83"/>
  <c r="BB83"/>
  <c r="BC83" s="1"/>
  <c r="BN88"/>
  <c r="BB88"/>
  <c r="BC88" s="1"/>
  <c r="BN75"/>
  <c r="BB75"/>
  <c r="BC75" s="1"/>
  <c r="BN23"/>
  <c r="BB23"/>
  <c r="BC23" s="1"/>
  <c r="BN21"/>
  <c r="BB21"/>
  <c r="BC21" s="1"/>
  <c r="BN24"/>
  <c r="BB24"/>
  <c r="BC24" s="1"/>
  <c r="BN74"/>
  <c r="BB74"/>
  <c r="BC74" s="1"/>
  <c r="BN26"/>
  <c r="BB26"/>
  <c r="BC26" s="1"/>
  <c r="BN40"/>
  <c r="BB40"/>
  <c r="BC40" s="1"/>
  <c r="BN39"/>
  <c r="BB39"/>
  <c r="BC39" s="1"/>
  <c r="BN16"/>
  <c r="BB16"/>
  <c r="BC16" s="1"/>
  <c r="BN63"/>
  <c r="BB63"/>
  <c r="BC63" s="1"/>
  <c r="BN14"/>
  <c r="BB14"/>
  <c r="BC14" s="1"/>
  <c r="BN22"/>
  <c r="BB22"/>
  <c r="BC22" s="1"/>
  <c r="BN68"/>
  <c r="BB68"/>
  <c r="BC68" s="1"/>
  <c r="BN35"/>
  <c r="BB35"/>
  <c r="BC35" s="1"/>
  <c r="BN20"/>
  <c r="BB20"/>
  <c r="BC20" s="1"/>
  <c r="AU42" i="5"/>
  <c r="AV42" s="1"/>
  <c r="AU33"/>
  <c r="AV33" s="1"/>
  <c r="CA82"/>
  <c r="CA90"/>
  <c r="CA13"/>
  <c r="AU21"/>
  <c r="AV21" s="1"/>
  <c r="AU56"/>
  <c r="AV56" s="1"/>
  <c r="AU47"/>
  <c r="AV47" s="1"/>
  <c r="AU14"/>
  <c r="AV14" s="1"/>
  <c r="CA62"/>
  <c r="CA64"/>
  <c r="CA80"/>
  <c r="CA20"/>
  <c r="CA50"/>
  <c r="CA87"/>
  <c r="CA74"/>
  <c r="CA22"/>
  <c r="CA88"/>
  <c r="CA33"/>
  <c r="CA57"/>
  <c r="CA28"/>
  <c r="CA66"/>
  <c r="CA52"/>
  <c r="CA58"/>
  <c r="CA84"/>
  <c r="CA71"/>
  <c r="CA36"/>
  <c r="CA38"/>
  <c r="CA92"/>
  <c r="CA35"/>
  <c r="CA72"/>
  <c r="CA21"/>
  <c r="CA56"/>
  <c r="CA47"/>
  <c r="CA14"/>
  <c r="CA53"/>
  <c r="CA65"/>
  <c r="CA42"/>
  <c r="CA26"/>
  <c r="AU41"/>
  <c r="AV41" s="1"/>
  <c r="AU32"/>
  <c r="AV32" s="1"/>
  <c r="AU16"/>
  <c r="AV16" s="1"/>
  <c r="AU55"/>
  <c r="AV55" s="1"/>
  <c r="AU67"/>
  <c r="AV67" s="1"/>
  <c r="AU11"/>
  <c r="AV11" s="1"/>
  <c r="AU73"/>
  <c r="AV73" s="1"/>
  <c r="AU12"/>
  <c r="AV12" s="1"/>
  <c r="AU68"/>
  <c r="AV68" s="1"/>
  <c r="AU86"/>
  <c r="AV86" s="1"/>
  <c r="AU63"/>
  <c r="AV63" s="1"/>
  <c r="AU43"/>
  <c r="AV43" s="1"/>
  <c r="AU91"/>
  <c r="AV91" s="1"/>
  <c r="AU37"/>
  <c r="AV37" s="1"/>
  <c r="AU45"/>
  <c r="AV45" s="1"/>
  <c r="AU60"/>
  <c r="AV60" s="1"/>
  <c r="AU24"/>
  <c r="AV24" s="1"/>
  <c r="AU31"/>
  <c r="AV31" s="1"/>
  <c r="AU19"/>
  <c r="AV19" s="1"/>
  <c r="AU18"/>
  <c r="AV18" s="1"/>
  <c r="AU51"/>
  <c r="AV51" s="1"/>
  <c r="AU49"/>
  <c r="AV49" s="1"/>
  <c r="AU27"/>
  <c r="AV27" s="1"/>
  <c r="AU34"/>
  <c r="AV34" s="1"/>
  <c r="AU82"/>
  <c r="AV82" s="1"/>
  <c r="AU90"/>
  <c r="AV90" s="1"/>
  <c r="AU13"/>
  <c r="AV13" s="1"/>
  <c r="AU26"/>
  <c r="AV26" s="1"/>
  <c r="BB56" i="6"/>
  <c r="BC56" s="1"/>
  <c r="BB59"/>
  <c r="BC59" s="1"/>
  <c r="BB81"/>
  <c r="BC81" s="1"/>
  <c r="BB36"/>
  <c r="BC36" s="1"/>
  <c r="BN59"/>
  <c r="BN32"/>
  <c r="BN51"/>
  <c r="BN62"/>
  <c r="BA62"/>
  <c r="BN30"/>
  <c r="BN61"/>
  <c r="BN45"/>
  <c r="BN72"/>
  <c r="BN43"/>
  <c r="BN42"/>
  <c r="BN79"/>
  <c r="BN29"/>
  <c r="BN27"/>
  <c r="BN38"/>
  <c r="BN82"/>
  <c r="BN87"/>
  <c r="BN49"/>
  <c r="BN55"/>
  <c r="BN84"/>
  <c r="BN54"/>
  <c r="BN52"/>
  <c r="BN25"/>
  <c r="BN15"/>
  <c r="BN71"/>
  <c r="BN18"/>
  <c r="BN70"/>
  <c r="BN31"/>
  <c r="BN12"/>
  <c r="BN41"/>
  <c r="BB41"/>
  <c r="BC41" s="1"/>
  <c r="BB60"/>
  <c r="BC60" s="1"/>
  <c r="BB11"/>
  <c r="BC11" s="1"/>
  <c r="N45" i="7"/>
  <c r="C63" i="6"/>
  <c r="G66" i="30" l="1"/>
  <c r="H66"/>
  <c r="F66"/>
  <c r="F55"/>
  <c r="H55"/>
  <c r="G55"/>
  <c r="H63" i="32"/>
  <c r="H67"/>
  <c r="F65" i="33"/>
  <c r="H65"/>
  <c r="G65"/>
  <c r="F63" i="32"/>
  <c r="H66" i="34"/>
  <c r="F66"/>
  <c r="G66"/>
  <c r="H53"/>
  <c r="F53"/>
  <c r="G53"/>
  <c r="H55"/>
  <c r="F55"/>
  <c r="G55"/>
  <c r="H52"/>
  <c r="F52"/>
  <c r="G52"/>
  <c r="H51"/>
  <c r="G51"/>
  <c r="F51"/>
  <c r="H64"/>
  <c r="F64"/>
  <c r="G64"/>
  <c r="H54"/>
  <c r="F54"/>
  <c r="G54"/>
  <c r="H65"/>
  <c r="F65"/>
  <c r="G65"/>
  <c r="H63"/>
  <c r="F63"/>
  <c r="G63"/>
  <c r="H67"/>
  <c r="F67"/>
  <c r="G67"/>
  <c r="H52" i="33"/>
  <c r="G52"/>
  <c r="F52"/>
  <c r="H54"/>
  <c r="G54"/>
  <c r="F54"/>
  <c r="H63"/>
  <c r="F63"/>
  <c r="G63"/>
  <c r="F51" i="32"/>
  <c r="G51"/>
  <c r="H51"/>
  <c r="H59" i="33"/>
  <c r="F59"/>
  <c r="G59"/>
  <c r="H67"/>
  <c r="F67"/>
  <c r="G67"/>
  <c r="H66" i="32"/>
  <c r="G66"/>
  <c r="F66"/>
  <c r="H55" i="33"/>
  <c r="F55"/>
  <c r="G55"/>
  <c r="F64" i="32"/>
  <c r="H64"/>
  <c r="G64"/>
  <c r="H51" i="33"/>
  <c r="G51"/>
  <c r="F51"/>
  <c r="H59" i="32"/>
  <c r="F59"/>
  <c r="G59"/>
  <c r="H66" i="33"/>
  <c r="F66"/>
  <c r="G66"/>
  <c r="F55" i="32"/>
  <c r="G55"/>
  <c r="H55"/>
  <c r="H64" i="33"/>
  <c r="F64"/>
  <c r="G64"/>
  <c r="G63" i="30"/>
  <c r="H63"/>
  <c r="F63"/>
  <c r="H67"/>
  <c r="F67"/>
  <c r="G67"/>
  <c r="H53"/>
  <c r="F53"/>
  <c r="G53"/>
  <c r="G68"/>
  <c r="H68"/>
  <c r="F68"/>
  <c r="H69"/>
  <c r="F69"/>
  <c r="G69"/>
  <c r="G54"/>
  <c r="H54"/>
  <c r="F54"/>
  <c r="G65"/>
  <c r="H65"/>
  <c r="F65"/>
  <c r="G52"/>
  <c r="H52"/>
  <c r="F52"/>
  <c r="F61" i="7"/>
  <c r="M45" l="1"/>
  <c r="L45"/>
  <c r="AX72" i="23"/>
  <c r="AY72" s="1"/>
  <c r="AZ72"/>
  <c r="BA72" s="1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72"/>
  <c r="C50"/>
  <c r="C24"/>
  <c r="C71"/>
  <c r="C22"/>
  <c r="I31" i="26"/>
  <c r="B50" i="7"/>
  <c r="C50" s="1"/>
  <c r="D50" s="1"/>
  <c r="E50" s="1"/>
  <c r="F50" s="1"/>
  <c r="G50" s="1"/>
  <c r="H50" s="1"/>
  <c r="I50" s="1"/>
  <c r="J50" s="1"/>
  <c r="K50" s="1"/>
  <c r="L50" s="1"/>
  <c r="M50" s="1"/>
  <c r="N50" s="1"/>
  <c r="AX53" i="6"/>
  <c r="AC54" i="32" s="1"/>
  <c r="AZ53" i="6"/>
  <c r="AG54" i="32" s="1"/>
  <c r="BD53" i="6"/>
  <c r="BE53"/>
  <c r="BF53"/>
  <c r="BG53"/>
  <c r="BH53"/>
  <c r="BI53"/>
  <c r="BJ53"/>
  <c r="BK53"/>
  <c r="BL53"/>
  <c r="BM53"/>
  <c r="C84"/>
  <c r="C53"/>
  <c r="C72"/>
  <c r="C52"/>
  <c r="C71"/>
  <c r="C60"/>
  <c r="C55"/>
  <c r="C79"/>
  <c r="C31"/>
  <c r="C74"/>
  <c r="C54"/>
  <c r="C45"/>
  <c r="C37"/>
  <c r="C25"/>
  <c r="E41" i="22"/>
  <c r="AQ41"/>
  <c r="AR41" s="1"/>
  <c r="AS41"/>
  <c r="AT41" s="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E28"/>
  <c r="AQ28"/>
  <c r="AR28" s="1"/>
  <c r="AS28"/>
  <c r="AT28" s="1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AX33" i="23"/>
  <c r="AY33" s="1"/>
  <c r="AZ33"/>
  <c r="BA33" s="1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AX36"/>
  <c r="AY36" s="1"/>
  <c r="AZ36"/>
  <c r="BA36" s="1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33"/>
  <c r="C36"/>
  <c r="AQ35" i="22"/>
  <c r="AQ22"/>
  <c r="AQ13"/>
  <c r="AQ84"/>
  <c r="AQ50"/>
  <c r="AQ42"/>
  <c r="AQ21"/>
  <c r="AQ71"/>
  <c r="AQ26"/>
  <c r="AQ85"/>
  <c r="AQ63"/>
  <c r="AQ36"/>
  <c r="AQ69"/>
  <c r="AQ27"/>
  <c r="AQ48"/>
  <c r="AQ14"/>
  <c r="AQ40"/>
  <c r="AQ74"/>
  <c r="AQ61"/>
  <c r="AQ23"/>
  <c r="AQ73"/>
  <c r="AQ86"/>
  <c r="AQ58"/>
  <c r="AQ12"/>
  <c r="AQ49"/>
  <c r="AQ15"/>
  <c r="AQ60"/>
  <c r="AQ24"/>
  <c r="AQ70"/>
  <c r="AQ45"/>
  <c r="AQ65"/>
  <c r="AQ66"/>
  <c r="AQ57"/>
  <c r="AQ54"/>
  <c r="AQ79"/>
  <c r="AQ46"/>
  <c r="AQ53"/>
  <c r="AQ18"/>
  <c r="AQ76"/>
  <c r="AQ17"/>
  <c r="AQ51"/>
  <c r="AQ11"/>
  <c r="AQ55"/>
  <c r="AQ59"/>
  <c r="AQ44"/>
  <c r="AQ47"/>
  <c r="AQ64"/>
  <c r="AQ78"/>
  <c r="AQ62"/>
  <c r="AQ39"/>
  <c r="AQ77"/>
  <c r="AQ88"/>
  <c r="AQ30"/>
  <c r="AQ20"/>
  <c r="AQ72"/>
  <c r="AQ37"/>
  <c r="AQ29"/>
  <c r="AQ68"/>
  <c r="AQ52"/>
  <c r="AQ32"/>
  <c r="AQ43"/>
  <c r="AQ56"/>
  <c r="AQ25"/>
  <c r="AQ31"/>
  <c r="AQ83"/>
  <c r="AQ19"/>
  <c r="D18" i="26"/>
  <c r="D19" s="1"/>
  <c r="G54" i="32" l="1"/>
  <c r="H54"/>
  <c r="F54"/>
  <c r="AY53" i="6"/>
  <c r="AC53" i="33"/>
  <c r="AC53" i="32"/>
  <c r="BA53" i="6"/>
  <c r="AG53" i="33"/>
  <c r="AG53" i="32"/>
  <c r="AU41" i="22"/>
  <c r="AV41" s="1"/>
  <c r="AU28"/>
  <c r="AV28" s="1"/>
  <c r="BB72" i="23"/>
  <c r="BC72" s="1"/>
  <c r="BB36"/>
  <c r="BC36" s="1"/>
  <c r="CK72"/>
  <c r="BB33"/>
  <c r="BC33" s="1"/>
  <c r="CP28" i="22"/>
  <c r="CR41"/>
  <c r="CR28"/>
  <c r="CP41"/>
  <c r="CS41"/>
  <c r="CQ41"/>
  <c r="CQ28"/>
  <c r="BN53" i="6"/>
  <c r="BB53"/>
  <c r="BC53" s="1"/>
  <c r="CS28" i="22"/>
  <c r="D28"/>
  <c r="D41"/>
  <c r="C28"/>
  <c r="C41"/>
  <c r="CK33" i="23"/>
  <c r="CK36"/>
  <c r="D20" i="26"/>
  <c r="CB77" i="5"/>
  <c r="CC77"/>
  <c r="CD77"/>
  <c r="C23" i="6"/>
  <c r="C21"/>
  <c r="AQ77" i="5"/>
  <c r="C62" i="6"/>
  <c r="C70"/>
  <c r="C40"/>
  <c r="C48"/>
  <c r="C51"/>
  <c r="BV77" i="5"/>
  <c r="BW77"/>
  <c r="BX77"/>
  <c r="BY77"/>
  <c r="BZ77"/>
  <c r="H53" i="33" l="1"/>
  <c r="G53"/>
  <c r="F53"/>
  <c r="H53" i="32"/>
  <c r="F53"/>
  <c r="G53"/>
  <c r="CT41" i="22"/>
  <c r="CT28"/>
  <c r="CA77" i="5"/>
  <c r="F58" i="7" l="1"/>
  <c r="B41" i="25"/>
  <c r="B40"/>
  <c r="Q54"/>
  <c r="Q53"/>
  <c r="Q52"/>
  <c r="Q48"/>
  <c r="Q47"/>
  <c r="Q46"/>
  <c r="Q38"/>
  <c r="Q37"/>
  <c r="Q36"/>
  <c r="Q32"/>
  <c r="Q31"/>
  <c r="Q30"/>
  <c r="L54"/>
  <c r="L53"/>
  <c r="L52"/>
  <c r="L48"/>
  <c r="L47"/>
  <c r="L46"/>
  <c r="S52"/>
  <c r="U52" s="1"/>
  <c r="S53" s="1"/>
  <c r="U53" s="1"/>
  <c r="S54" s="1"/>
  <c r="U54" s="1"/>
  <c r="N52"/>
  <c r="P52" s="1"/>
  <c r="S46"/>
  <c r="U46" s="1"/>
  <c r="S47" s="1"/>
  <c r="U47" s="1"/>
  <c r="S48" s="1"/>
  <c r="U48" s="1"/>
  <c r="N46"/>
  <c r="P46" s="1"/>
  <c r="N47" s="1"/>
  <c r="P47" s="1"/>
  <c r="B12"/>
  <c r="B10"/>
  <c r="B9"/>
  <c r="B8"/>
  <c r="B7"/>
  <c r="B6"/>
  <c r="B5"/>
  <c r="B4"/>
  <c r="O88" i="7"/>
  <c r="P88" s="1"/>
  <c r="O87"/>
  <c r="P87" s="1"/>
  <c r="O86"/>
  <c r="P86" s="1"/>
  <c r="O85"/>
  <c r="P85" s="1"/>
  <c r="C85"/>
  <c r="D85" s="1"/>
  <c r="B85"/>
  <c r="O65"/>
  <c r="P65" s="1"/>
  <c r="O66"/>
  <c r="P66" s="1"/>
  <c r="O67"/>
  <c r="P67" s="1"/>
  <c r="O68"/>
  <c r="P68" s="1"/>
  <c r="O72"/>
  <c r="P72" s="1"/>
  <c r="O73"/>
  <c r="P73" s="1"/>
  <c r="O74"/>
  <c r="P74" s="1"/>
  <c r="O75"/>
  <c r="P75" s="1"/>
  <c r="O76"/>
  <c r="P76" s="1"/>
  <c r="O77"/>
  <c r="P77" s="1"/>
  <c r="O78"/>
  <c r="P78" s="1"/>
  <c r="O80"/>
  <c r="P80" s="1"/>
  <c r="O64"/>
  <c r="P64" s="1"/>
  <c r="AF5" i="9"/>
  <c r="L38" s="1"/>
  <c r="J4"/>
  <c r="E70"/>
  <c r="E69"/>
  <c r="E68"/>
  <c r="E67"/>
  <c r="E66"/>
  <c r="E65"/>
  <c r="E62"/>
  <c r="E61"/>
  <c r="E58"/>
  <c r="E57"/>
  <c r="E56"/>
  <c r="E55"/>
  <c r="E54"/>
  <c r="E53"/>
  <c r="E24"/>
  <c r="E23"/>
  <c r="E22"/>
  <c r="E19"/>
  <c r="E18"/>
  <c r="E17"/>
  <c r="E16"/>
  <c r="E15"/>
  <c r="E14"/>
  <c r="E11"/>
  <c r="E10"/>
  <c r="E9"/>
  <c r="E8"/>
  <c r="E7"/>
  <c r="E6"/>
  <c r="E40" s="1"/>
  <c r="E5"/>
  <c r="E38" s="1"/>
  <c r="E4"/>
  <c r="E43" s="1"/>
  <c r="E3"/>
  <c r="E41" s="1"/>
  <c r="E44" l="1"/>
  <c r="V52" i="25"/>
  <c r="N53"/>
  <c r="P53" s="1"/>
  <c r="V53" s="1"/>
  <c r="B3"/>
  <c r="G3" s="1"/>
  <c r="H3" s="1"/>
  <c r="I3" s="1"/>
  <c r="J3" s="1"/>
  <c r="V46"/>
  <c r="V47"/>
  <c r="N48"/>
  <c r="P48" s="1"/>
  <c r="V48" s="1"/>
  <c r="E63" i="7"/>
  <c r="AX82" i="23"/>
  <c r="AY82" s="1"/>
  <c r="AZ82"/>
  <c r="BA82" s="1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H82"/>
  <c r="CI82"/>
  <c r="CJ82"/>
  <c r="AX84"/>
  <c r="AY84" s="1"/>
  <c r="AZ84"/>
  <c r="BA84" s="1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CB84"/>
  <c r="CC84"/>
  <c r="CD84"/>
  <c r="CE84"/>
  <c r="CF84"/>
  <c r="CG84"/>
  <c r="CH84"/>
  <c r="CI84"/>
  <c r="CJ84"/>
  <c r="AX68"/>
  <c r="AY68" s="1"/>
  <c r="AZ68"/>
  <c r="BA68" s="1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A68"/>
  <c r="CB68"/>
  <c r="CC68"/>
  <c r="CD68"/>
  <c r="CE68"/>
  <c r="CF68"/>
  <c r="CG68"/>
  <c r="CH68"/>
  <c r="CI68"/>
  <c r="CJ68"/>
  <c r="AX49"/>
  <c r="AY49" s="1"/>
  <c r="AZ49"/>
  <c r="BA49" s="1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82"/>
  <c r="C84"/>
  <c r="C68"/>
  <c r="C49"/>
  <c r="AR12" i="22"/>
  <c r="AS12"/>
  <c r="AT12" s="1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AR29"/>
  <c r="AS29"/>
  <c r="AT29" s="1"/>
  <c r="AW29"/>
  <c r="AX29"/>
  <c r="AY29"/>
  <c r="AZ29"/>
  <c r="BA29"/>
  <c r="BB29"/>
  <c r="BC29"/>
  <c r="BD29"/>
  <c r="BE29"/>
  <c r="BF29"/>
  <c r="BG29"/>
  <c r="BH29"/>
  <c r="C29" s="1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12"/>
  <c r="D12"/>
  <c r="E12"/>
  <c r="E29"/>
  <c r="K10" i="26"/>
  <c r="J10"/>
  <c r="I29"/>
  <c r="I30"/>
  <c r="I17"/>
  <c r="I28"/>
  <c r="I27"/>
  <c r="I26"/>
  <c r="I25"/>
  <c r="I24"/>
  <c r="I23"/>
  <c r="I22"/>
  <c r="I21"/>
  <c r="I20"/>
  <c r="I19"/>
  <c r="AB68" i="9"/>
  <c r="AA68"/>
  <c r="Z68"/>
  <c r="N68"/>
  <c r="M68"/>
  <c r="L68"/>
  <c r="K68"/>
  <c r="I68"/>
  <c r="D68"/>
  <c r="BB82" i="23" l="1"/>
  <c r="BC82" s="1"/>
  <c r="N54" i="25"/>
  <c r="P54" s="1"/>
  <c r="V54" s="1"/>
  <c r="B29"/>
  <c r="G29" s="1"/>
  <c r="H29" s="1"/>
  <c r="I29" s="1"/>
  <c r="J29" s="1"/>
  <c r="AU12" i="22"/>
  <c r="AV12" s="1"/>
  <c r="AU29"/>
  <c r="AV29" s="1"/>
  <c r="BB49" i="23"/>
  <c r="BC49" s="1"/>
  <c r="BB68"/>
  <c r="BC68" s="1"/>
  <c r="BB84"/>
  <c r="BC84" s="1"/>
  <c r="D29" i="22"/>
  <c r="F68" i="9"/>
  <c r="CK82" i="23"/>
  <c r="H68" i="9"/>
  <c r="CR12" i="22"/>
  <c r="CP29"/>
  <c r="CP12"/>
  <c r="CS29"/>
  <c r="CQ29"/>
  <c r="CQ12"/>
  <c r="CR29"/>
  <c r="CS12"/>
  <c r="G68" i="9"/>
  <c r="CK49" i="23"/>
  <c r="CK68"/>
  <c r="CK84"/>
  <c r="C33" i="26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68"/>
  <c r="C69"/>
  <c r="C70"/>
  <c r="C71"/>
  <c r="C72"/>
  <c r="C73"/>
  <c r="C74"/>
  <c r="C75"/>
  <c r="C76"/>
  <c r="C77"/>
  <c r="C78"/>
  <c r="C79"/>
  <c r="C80"/>
  <c r="C81"/>
  <c r="C82"/>
  <c r="C83"/>
  <c r="C84"/>
  <c r="F26"/>
  <c r="F25"/>
  <c r="F17"/>
  <c r="F21"/>
  <c r="AX45" i="23"/>
  <c r="AY45" s="1"/>
  <c r="AZ45"/>
  <c r="BA45" s="1"/>
  <c r="BB45"/>
  <c r="BC45" s="1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AX23"/>
  <c r="AY23" s="1"/>
  <c r="AZ23"/>
  <c r="BA23" s="1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AX62"/>
  <c r="AY62" s="1"/>
  <c r="AZ62"/>
  <c r="BA62" s="1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AX65"/>
  <c r="AY65" s="1"/>
  <c r="AZ65"/>
  <c r="BA65" s="1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AX47"/>
  <c r="AY47" s="1"/>
  <c r="AZ47"/>
  <c r="BA47" s="1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45"/>
  <c r="C23"/>
  <c r="C62"/>
  <c r="C65"/>
  <c r="C47"/>
  <c r="AR42" i="22"/>
  <c r="AS42"/>
  <c r="AT42" s="1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AR32"/>
  <c r="AS32"/>
  <c r="AT32" s="1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42"/>
  <c r="D42"/>
  <c r="E42"/>
  <c r="D32"/>
  <c r="E32"/>
  <c r="F20" i="26" l="1"/>
  <c r="K17"/>
  <c r="C32" i="22"/>
  <c r="BB23" i="23"/>
  <c r="BC23" s="1"/>
  <c r="BB65"/>
  <c r="BC65" s="1"/>
  <c r="BB62"/>
  <c r="BC62" s="1"/>
  <c r="BB47"/>
  <c r="BC47" s="1"/>
  <c r="AU42" i="22"/>
  <c r="AV42" s="1"/>
  <c r="CT12"/>
  <c r="CP42"/>
  <c r="CQ32"/>
  <c r="CT29"/>
  <c r="CP32"/>
  <c r="CQ42"/>
  <c r="CK45" i="23"/>
  <c r="F28" i="26"/>
  <c r="F29" s="1"/>
  <c r="F19"/>
  <c r="F22" s="1"/>
  <c r="F23" s="1"/>
  <c r="AU32" i="22"/>
  <c r="AV32" s="1"/>
  <c r="CS42"/>
  <c r="CR42"/>
  <c r="CS32"/>
  <c r="CR32"/>
  <c r="CK23" i="23"/>
  <c r="CK47"/>
  <c r="CK65"/>
  <c r="CK62"/>
  <c r="B39" i="25"/>
  <c r="B38"/>
  <c r="B37"/>
  <c r="B36"/>
  <c r="B35"/>
  <c r="B34"/>
  <c r="B33"/>
  <c r="B32"/>
  <c r="B31"/>
  <c r="B30"/>
  <c r="C32" i="6"/>
  <c r="F27" i="26" l="1"/>
  <c r="F30" s="1"/>
  <c r="CT32" i="22"/>
  <c r="CT42"/>
  <c r="K11" i="26" l="1"/>
  <c r="K7"/>
  <c r="K4"/>
  <c r="J11"/>
  <c r="J8"/>
  <c r="J7"/>
  <c r="J4"/>
  <c r="C83" i="6"/>
  <c r="C60" i="26"/>
  <c r="C61"/>
  <c r="C62"/>
  <c r="C63"/>
  <c r="C64"/>
  <c r="C65"/>
  <c r="C66"/>
  <c r="C67"/>
  <c r="C59"/>
  <c r="C16" i="6"/>
  <c r="AR79" i="22"/>
  <c r="AS79"/>
  <c r="AT79" s="1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CE79"/>
  <c r="CF79"/>
  <c r="CG79"/>
  <c r="CH79"/>
  <c r="CI79"/>
  <c r="CJ79"/>
  <c r="CK79"/>
  <c r="CL79"/>
  <c r="CM79"/>
  <c r="CN79"/>
  <c r="CO79"/>
  <c r="AR53"/>
  <c r="AS53"/>
  <c r="AT53" s="1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79"/>
  <c r="E79"/>
  <c r="D53"/>
  <c r="E53"/>
  <c r="CJ40" i="23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AZ40"/>
  <c r="BA40" s="1"/>
  <c r="AX40"/>
  <c r="C40"/>
  <c r="B24" i="26"/>
  <c r="B25"/>
  <c r="B6" i="22"/>
  <c r="N89" i="7"/>
  <c r="M89"/>
  <c r="L89"/>
  <c r="K89"/>
  <c r="N84"/>
  <c r="M84"/>
  <c r="L84"/>
  <c r="N63"/>
  <c r="M63"/>
  <c r="L63"/>
  <c r="N55"/>
  <c r="M55"/>
  <c r="L55"/>
  <c r="K84"/>
  <c r="J84"/>
  <c r="I84"/>
  <c r="H84"/>
  <c r="G84"/>
  <c r="F84"/>
  <c r="E84"/>
  <c r="G61"/>
  <c r="H61" s="1"/>
  <c r="I61" s="1"/>
  <c r="J61" s="1"/>
  <c r="K61" s="1"/>
  <c r="L61" s="1"/>
  <c r="G58"/>
  <c r="H58" s="1"/>
  <c r="I58" s="1"/>
  <c r="J58" s="1"/>
  <c r="K58" s="1"/>
  <c r="L58" s="1"/>
  <c r="M58" s="1"/>
  <c r="N58" s="1"/>
  <c r="AX60" i="23"/>
  <c r="AY60" s="1"/>
  <c r="AZ60"/>
  <c r="BA60" s="1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AX54"/>
  <c r="AY54" s="1"/>
  <c r="AZ54"/>
  <c r="BA54" s="1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60"/>
  <c r="C54"/>
  <c r="AR35" i="22"/>
  <c r="AS35"/>
  <c r="AT35" s="1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AR85"/>
  <c r="AS85"/>
  <c r="AT85" s="1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CB85"/>
  <c r="CC85"/>
  <c r="CD85"/>
  <c r="CE85"/>
  <c r="CF85"/>
  <c r="CG85"/>
  <c r="CH85"/>
  <c r="CI85"/>
  <c r="CJ85"/>
  <c r="CK85"/>
  <c r="CL85"/>
  <c r="CM85"/>
  <c r="CN85"/>
  <c r="CO85"/>
  <c r="AR78"/>
  <c r="AS78"/>
  <c r="AT78" s="1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CD78"/>
  <c r="CE78"/>
  <c r="CF78"/>
  <c r="CG78"/>
  <c r="CH78"/>
  <c r="CI78"/>
  <c r="CJ78"/>
  <c r="CK78"/>
  <c r="CL78"/>
  <c r="CM78"/>
  <c r="CN78"/>
  <c r="CO78"/>
  <c r="AR88"/>
  <c r="AS88"/>
  <c r="AT88" s="1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CB88"/>
  <c r="CC88"/>
  <c r="CD88"/>
  <c r="CE88"/>
  <c r="CF88"/>
  <c r="CG88"/>
  <c r="CH88"/>
  <c r="CI88"/>
  <c r="CJ88"/>
  <c r="CK88"/>
  <c r="CL88"/>
  <c r="CM88"/>
  <c r="CN88"/>
  <c r="CO88"/>
  <c r="C35"/>
  <c r="E35"/>
  <c r="D85"/>
  <c r="E85"/>
  <c r="C78"/>
  <c r="E78"/>
  <c r="D88"/>
  <c r="E88"/>
  <c r="D21" i="26"/>
  <c r="BU77" i="5"/>
  <c r="C59" i="6"/>
  <c r="C38"/>
  <c r="C24"/>
  <c r="S36" i="25"/>
  <c r="U36" s="1"/>
  <c r="S37" s="1"/>
  <c r="U37" s="1"/>
  <c r="S38" s="1"/>
  <c r="U38" s="1"/>
  <c r="N36"/>
  <c r="P36" s="1"/>
  <c r="N37" s="1"/>
  <c r="P37" s="1"/>
  <c r="N38" s="1"/>
  <c r="P38" s="1"/>
  <c r="S30"/>
  <c r="N30"/>
  <c r="B52" i="7"/>
  <c r="C52" s="1"/>
  <c r="D52" s="1"/>
  <c r="E52" s="1"/>
  <c r="F52" s="1"/>
  <c r="G52" s="1"/>
  <c r="H52" s="1"/>
  <c r="I52" s="1"/>
  <c r="J52" s="1"/>
  <c r="K52" s="1"/>
  <c r="L52" s="1"/>
  <c r="M52" s="1"/>
  <c r="N52" s="1"/>
  <c r="AX37" i="23"/>
  <c r="AY37" s="1"/>
  <c r="AZ37"/>
  <c r="BA37" s="1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37"/>
  <c r="AR21" i="22"/>
  <c r="AS21"/>
  <c r="AT21" s="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AR11"/>
  <c r="AS11"/>
  <c r="AT11" s="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AR47"/>
  <c r="AS47"/>
  <c r="AT47" s="1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AR66"/>
  <c r="AS66"/>
  <c r="AT66" s="1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CK66"/>
  <c r="CL66"/>
  <c r="CM66"/>
  <c r="CN66"/>
  <c r="CO66"/>
  <c r="E21"/>
  <c r="E11"/>
  <c r="E47"/>
  <c r="E66"/>
  <c r="O89" i="7" l="1"/>
  <c r="P89" s="1"/>
  <c r="AU85" i="22"/>
  <c r="AV85" s="1"/>
  <c r="AU35"/>
  <c r="AV35" s="1"/>
  <c r="C53"/>
  <c r="D79"/>
  <c r="V38" i="25"/>
  <c r="CP53" i="22"/>
  <c r="CQ79"/>
  <c r="CR53"/>
  <c r="CQ53"/>
  <c r="CP79"/>
  <c r="CR79"/>
  <c r="V36" i="25"/>
  <c r="CS79" i="22"/>
  <c r="H3" i="26"/>
  <c r="K19"/>
  <c r="J19"/>
  <c r="J17"/>
  <c r="K21"/>
  <c r="J21"/>
  <c r="AU79" i="22"/>
  <c r="AV79" s="1"/>
  <c r="BB40" i="23"/>
  <c r="BC40" s="1"/>
  <c r="AY40"/>
  <c r="AU53" i="22"/>
  <c r="AV53" s="1"/>
  <c r="CK40" i="23"/>
  <c r="CS53" i="22"/>
  <c r="AU88"/>
  <c r="AV88" s="1"/>
  <c r="AU78"/>
  <c r="AV78" s="1"/>
  <c r="C11"/>
  <c r="D22" i="26"/>
  <c r="BB54" i="23"/>
  <c r="BC54" s="1"/>
  <c r="BB60"/>
  <c r="BC60" s="1"/>
  <c r="D66" i="22"/>
  <c r="D47"/>
  <c r="D21"/>
  <c r="C88"/>
  <c r="D78"/>
  <c r="C85"/>
  <c r="D35"/>
  <c r="CP35"/>
  <c r="CQ85"/>
  <c r="CP88"/>
  <c r="CR35"/>
  <c r="CQ35"/>
  <c r="CP78"/>
  <c r="CS35"/>
  <c r="M61" i="7"/>
  <c r="CQ78" i="22"/>
  <c r="CR85"/>
  <c r="CP85"/>
  <c r="CR88"/>
  <c r="CS85"/>
  <c r="CQ88"/>
  <c r="CR78"/>
  <c r="CK54" i="23"/>
  <c r="CK60"/>
  <c r="CS78" i="22"/>
  <c r="CQ47"/>
  <c r="CP11"/>
  <c r="CS88"/>
  <c r="V37" i="25"/>
  <c r="CQ21" i="22"/>
  <c r="CP66"/>
  <c r="CQ66"/>
  <c r="C66"/>
  <c r="CQ11"/>
  <c r="D11"/>
  <c r="CP47"/>
  <c r="C47"/>
  <c r="CR21"/>
  <c r="CP21"/>
  <c r="C21"/>
  <c r="AU21"/>
  <c r="AV21" s="1"/>
  <c r="CR47"/>
  <c r="CR66"/>
  <c r="CS21"/>
  <c r="AU66"/>
  <c r="AV66" s="1"/>
  <c r="AU47"/>
  <c r="AV47" s="1"/>
  <c r="AU11"/>
  <c r="AV11" s="1"/>
  <c r="P30" i="25"/>
  <c r="U30"/>
  <c r="S31" s="1"/>
  <c r="U31" s="1"/>
  <c r="S32" s="1"/>
  <c r="U32" s="1"/>
  <c r="BB37" i="23"/>
  <c r="BC37" s="1"/>
  <c r="CR11" i="22"/>
  <c r="CS66"/>
  <c r="CS47"/>
  <c r="CK37" i="23"/>
  <c r="CS11" i="22"/>
  <c r="H11" i="26"/>
  <c r="H8"/>
  <c r="K8" s="1"/>
  <c r="H4"/>
  <c r="B28"/>
  <c r="B30" s="1"/>
  <c r="B27"/>
  <c r="B20"/>
  <c r="B23"/>
  <c r="BT77" i="5"/>
  <c r="BS77"/>
  <c r="S24" i="25"/>
  <c r="U24" s="1"/>
  <c r="S23"/>
  <c r="U23" s="1"/>
  <c r="S22"/>
  <c r="U22" s="1"/>
  <c r="U21"/>
  <c r="S21"/>
  <c r="S20"/>
  <c r="U20" s="1"/>
  <c r="S19"/>
  <c r="U19" s="1"/>
  <c r="S18"/>
  <c r="U18" s="1"/>
  <c r="S17"/>
  <c r="U17" s="1"/>
  <c r="N24"/>
  <c r="P24" s="1"/>
  <c r="N23"/>
  <c r="P23" s="1"/>
  <c r="N22"/>
  <c r="P22" s="1"/>
  <c r="N21"/>
  <c r="P21" s="1"/>
  <c r="N20"/>
  <c r="P20" s="1"/>
  <c r="N19"/>
  <c r="P19" s="1"/>
  <c r="N18"/>
  <c r="P18" s="1"/>
  <c r="N17"/>
  <c r="S5"/>
  <c r="S6"/>
  <c r="U6" s="1"/>
  <c r="S7"/>
  <c r="U7" s="1"/>
  <c r="S8"/>
  <c r="U8" s="1"/>
  <c r="S9"/>
  <c r="U9" s="1"/>
  <c r="S10"/>
  <c r="U10" s="1"/>
  <c r="S11"/>
  <c r="U11" s="1"/>
  <c r="S4"/>
  <c r="U4" s="1"/>
  <c r="N5"/>
  <c r="P5" s="1"/>
  <c r="N6"/>
  <c r="P6" s="1"/>
  <c r="N7"/>
  <c r="P7" s="1"/>
  <c r="N8"/>
  <c r="P8" s="1"/>
  <c r="N9"/>
  <c r="P9" s="1"/>
  <c r="N10"/>
  <c r="N11"/>
  <c r="P11" s="1"/>
  <c r="N4"/>
  <c r="P4" s="1"/>
  <c r="C39" i="6"/>
  <c r="C64"/>
  <c r="C43"/>
  <c r="K3" i="26" l="1"/>
  <c r="J3"/>
  <c r="N31" i="25"/>
  <c r="P31" s="1"/>
  <c r="D25" i="26"/>
  <c r="D26"/>
  <c r="CT53" i="22"/>
  <c r="N25" i="25"/>
  <c r="P25" s="1"/>
  <c r="CT79" i="22"/>
  <c r="P10" i="25"/>
  <c r="N12" s="1"/>
  <c r="P12" s="1"/>
  <c r="H9" i="26"/>
  <c r="K22"/>
  <c r="J22"/>
  <c r="H6"/>
  <c r="K20"/>
  <c r="J20"/>
  <c r="D35"/>
  <c r="D37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68"/>
  <c r="B69"/>
  <c r="B70"/>
  <c r="B71"/>
  <c r="B72"/>
  <c r="B73"/>
  <c r="B74"/>
  <c r="B75"/>
  <c r="B76"/>
  <c r="B77"/>
  <c r="B78"/>
  <c r="B79"/>
  <c r="B80"/>
  <c r="B81"/>
  <c r="B82"/>
  <c r="B83"/>
  <c r="B84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33"/>
  <c r="A112"/>
  <c r="D112" s="1"/>
  <c r="A114"/>
  <c r="D114" s="1"/>
  <c r="A116"/>
  <c r="D116" s="1"/>
  <c r="A108"/>
  <c r="D108" s="1"/>
  <c r="A110"/>
  <c r="D110" s="1"/>
  <c r="A113"/>
  <c r="D113" s="1"/>
  <c r="A115"/>
  <c r="D115" s="1"/>
  <c r="A107"/>
  <c r="D107" s="1"/>
  <c r="A109"/>
  <c r="D109" s="1"/>
  <c r="A111"/>
  <c r="D111" s="1"/>
  <c r="A104"/>
  <c r="D104" s="1"/>
  <c r="A105"/>
  <c r="D105" s="1"/>
  <c r="A106"/>
  <c r="D106" s="1"/>
  <c r="A98"/>
  <c r="D98" s="1"/>
  <c r="A99"/>
  <c r="D99" s="1"/>
  <c r="A100"/>
  <c r="D100" s="1"/>
  <c r="A103"/>
  <c r="D103" s="1"/>
  <c r="A89"/>
  <c r="D89" s="1"/>
  <c r="A90"/>
  <c r="D90" s="1"/>
  <c r="A91"/>
  <c r="D91" s="1"/>
  <c r="A92"/>
  <c r="D92" s="1"/>
  <c r="A93"/>
  <c r="D93" s="1"/>
  <c r="A94"/>
  <c r="D94" s="1"/>
  <c r="A95"/>
  <c r="D95" s="1"/>
  <c r="A96"/>
  <c r="D96" s="1"/>
  <c r="A97"/>
  <c r="D97" s="1"/>
  <c r="A101"/>
  <c r="D101" s="1"/>
  <c r="A102"/>
  <c r="D102" s="1"/>
  <c r="A88"/>
  <c r="D88" s="1"/>
  <c r="A87"/>
  <c r="D87" s="1"/>
  <c r="A86"/>
  <c r="D86" s="1"/>
  <c r="B60"/>
  <c r="B62"/>
  <c r="B67"/>
  <c r="B65"/>
  <c r="B63"/>
  <c r="B59"/>
  <c r="B61"/>
  <c r="B66"/>
  <c r="B64"/>
  <c r="D23"/>
  <c r="CT35" i="22"/>
  <c r="CT88"/>
  <c r="CT78"/>
  <c r="N61" i="7"/>
  <c r="CT85" i="22"/>
  <c r="V20" i="25"/>
  <c r="V21"/>
  <c r="V24"/>
  <c r="V18"/>
  <c r="V19"/>
  <c r="V22"/>
  <c r="V23"/>
  <c r="B26" i="26"/>
  <c r="B29"/>
  <c r="CT21" i="22"/>
  <c r="CT66"/>
  <c r="CT47"/>
  <c r="CT11"/>
  <c r="V30" i="25"/>
  <c r="V8"/>
  <c r="V4"/>
  <c r="S25"/>
  <c r="U25" s="1"/>
  <c r="V11"/>
  <c r="V7"/>
  <c r="V6"/>
  <c r="P17"/>
  <c r="V17" s="1"/>
  <c r="V9"/>
  <c r="U5"/>
  <c r="V5" s="1"/>
  <c r="K9" i="26" l="1"/>
  <c r="J9"/>
  <c r="K6"/>
  <c r="J6"/>
  <c r="L9" s="1"/>
  <c r="V10" i="25"/>
  <c r="V31"/>
  <c r="N32"/>
  <c r="P32" s="1"/>
  <c r="V32" s="1"/>
  <c r="S12"/>
  <c r="U12" s="1"/>
  <c r="V12" s="1"/>
  <c r="V25"/>
  <c r="D24" i="26"/>
  <c r="K23"/>
  <c r="J23"/>
  <c r="K25"/>
  <c r="J25"/>
  <c r="H14"/>
  <c r="K26"/>
  <c r="J26"/>
  <c r="C86"/>
  <c r="C88"/>
  <c r="C101"/>
  <c r="C96"/>
  <c r="C94"/>
  <c r="C92"/>
  <c r="C90"/>
  <c r="C103"/>
  <c r="C99"/>
  <c r="C106"/>
  <c r="C104"/>
  <c r="C109"/>
  <c r="C115"/>
  <c r="C110"/>
  <c r="C116"/>
  <c r="C112"/>
  <c r="C87"/>
  <c r="C102"/>
  <c r="C97"/>
  <c r="C95"/>
  <c r="C93"/>
  <c r="C91"/>
  <c r="C89"/>
  <c r="C100"/>
  <c r="C98"/>
  <c r="C105"/>
  <c r="C111"/>
  <c r="C107"/>
  <c r="C113"/>
  <c r="C108"/>
  <c r="C114"/>
  <c r="H13"/>
  <c r="D28"/>
  <c r="D29" s="1"/>
  <c r="D27"/>
  <c r="H16" l="1"/>
  <c r="J16" s="1"/>
  <c r="J13"/>
  <c r="K13"/>
  <c r="K14"/>
  <c r="J14"/>
  <c r="K16"/>
  <c r="K24"/>
  <c r="J24"/>
  <c r="K27"/>
  <c r="J27"/>
  <c r="K28"/>
  <c r="D30"/>
  <c r="D31" s="1"/>
  <c r="J28"/>
  <c r="I63" i="7"/>
  <c r="J63"/>
  <c r="K63"/>
  <c r="B49"/>
  <c r="C49" s="1"/>
  <c r="D49" s="1"/>
  <c r="E49" s="1"/>
  <c r="B53"/>
  <c r="C53" s="1"/>
  <c r="D53" s="1"/>
  <c r="E53" s="1"/>
  <c r="F53" s="1"/>
  <c r="G53" s="1"/>
  <c r="H53" s="1"/>
  <c r="I53" s="1"/>
  <c r="J53" s="1"/>
  <c r="K53" s="1"/>
  <c r="L53" s="1"/>
  <c r="M53" s="1"/>
  <c r="N53" s="1"/>
  <c r="F49" l="1"/>
  <c r="E47"/>
  <c r="K30" i="26"/>
  <c r="J30"/>
  <c r="J29"/>
  <c r="K29"/>
  <c r="E56" i="7" l="1"/>
  <c r="E82" s="1"/>
  <c r="E57"/>
  <c r="E62" s="1"/>
  <c r="G49"/>
  <c r="F47"/>
  <c r="F57" s="1"/>
  <c r="F62" s="1"/>
  <c r="BR77" i="5"/>
  <c r="AR72" i="22"/>
  <c r="AS72"/>
  <c r="AT72" s="1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O72"/>
  <c r="E72"/>
  <c r="F56" i="7" l="1"/>
  <c r="F82" s="1"/>
  <c r="H49"/>
  <c r="G47"/>
  <c r="D72" i="22"/>
  <c r="AU72"/>
  <c r="AV72" s="1"/>
  <c r="C72"/>
  <c r="CP72"/>
  <c r="CR72"/>
  <c r="CS72"/>
  <c r="CQ72"/>
  <c r="I49" i="7" l="1"/>
  <c r="H47"/>
  <c r="H57" s="1"/>
  <c r="H62" s="1"/>
  <c r="CT72" i="22"/>
  <c r="AB62" i="9"/>
  <c r="AA62"/>
  <c r="Z62"/>
  <c r="N62"/>
  <c r="M62"/>
  <c r="L62"/>
  <c r="K62"/>
  <c r="I62"/>
  <c r="C82" i="6"/>
  <c r="C22"/>
  <c r="C86"/>
  <c r="C29"/>
  <c r="C88"/>
  <c r="C87"/>
  <c r="C68"/>
  <c r="C75"/>
  <c r="C27"/>
  <c r="C11"/>
  <c r="C26"/>
  <c r="C18"/>
  <c r="C12"/>
  <c r="C15"/>
  <c r="C61"/>
  <c r="C20"/>
  <c r="C46"/>
  <c r="C14"/>
  <c r="C36"/>
  <c r="C42"/>
  <c r="C49"/>
  <c r="C56"/>
  <c r="C41"/>
  <c r="C28"/>
  <c r="C35"/>
  <c r="C30"/>
  <c r="C81"/>
  <c r="BG29" i="23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B83"/>
  <c r="CC83"/>
  <c r="CD83"/>
  <c r="CE83"/>
  <c r="CF83"/>
  <c r="CG83"/>
  <c r="CH83"/>
  <c r="CI83"/>
  <c r="CJ8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BY64"/>
  <c r="BZ64"/>
  <c r="CA64"/>
  <c r="CB64"/>
  <c r="CC64"/>
  <c r="CD64"/>
  <c r="CE64"/>
  <c r="CF64"/>
  <c r="CG64"/>
  <c r="CH64"/>
  <c r="CI64"/>
  <c r="CJ64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CE79"/>
  <c r="CF79"/>
  <c r="CG79"/>
  <c r="CH79"/>
  <c r="CI79"/>
  <c r="CJ79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CD78"/>
  <c r="CE78"/>
  <c r="CF78"/>
  <c r="CG78"/>
  <c r="CH78"/>
  <c r="CI78"/>
  <c r="CJ7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BG77"/>
  <c r="BH77"/>
  <c r="BI77"/>
  <c r="BJ77"/>
  <c r="BK77"/>
  <c r="BL77"/>
  <c r="BM77"/>
  <c r="BN77"/>
  <c r="BO77"/>
  <c r="BP77"/>
  <c r="BQ77"/>
  <c r="BR77"/>
  <c r="BS77"/>
  <c r="BT77"/>
  <c r="BU77"/>
  <c r="BV77"/>
  <c r="BW77"/>
  <c r="BX77"/>
  <c r="BY77"/>
  <c r="BZ77"/>
  <c r="CA77"/>
  <c r="CB77"/>
  <c r="CC77"/>
  <c r="CD77"/>
  <c r="CE77"/>
  <c r="CF77"/>
  <c r="CG77"/>
  <c r="CH77"/>
  <c r="CI77"/>
  <c r="CJ77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CF81"/>
  <c r="CG81"/>
  <c r="CH81"/>
  <c r="CI81"/>
  <c r="CJ81"/>
  <c r="BH81"/>
  <c r="BG81"/>
  <c r="BH10"/>
  <c r="BG10"/>
  <c r="BF77"/>
  <c r="BE77"/>
  <c r="BD77"/>
  <c r="AZ77"/>
  <c r="BA77" s="1"/>
  <c r="AX77"/>
  <c r="AY77" s="1"/>
  <c r="C77"/>
  <c r="BF56"/>
  <c r="BE56"/>
  <c r="BD56"/>
  <c r="AZ56"/>
  <c r="BA56" s="1"/>
  <c r="AX56"/>
  <c r="AY56" s="1"/>
  <c r="C56"/>
  <c r="BF58"/>
  <c r="BE58"/>
  <c r="BD58"/>
  <c r="AZ58"/>
  <c r="BA58" s="1"/>
  <c r="AX58"/>
  <c r="AY58" s="1"/>
  <c r="C58"/>
  <c r="BF78"/>
  <c r="BE78"/>
  <c r="BD78"/>
  <c r="AZ78"/>
  <c r="BA78" s="1"/>
  <c r="AX78"/>
  <c r="AY78" s="1"/>
  <c r="C78"/>
  <c r="BF79"/>
  <c r="BE79"/>
  <c r="BD79"/>
  <c r="AZ79"/>
  <c r="BA79" s="1"/>
  <c r="AX79"/>
  <c r="AY79" s="1"/>
  <c r="C79"/>
  <c r="BF52"/>
  <c r="BE52"/>
  <c r="BD52"/>
  <c r="AZ52"/>
  <c r="BA52" s="1"/>
  <c r="AX52"/>
  <c r="AY52" s="1"/>
  <c r="C52"/>
  <c r="BF53"/>
  <c r="BE53"/>
  <c r="BD53"/>
  <c r="AZ53"/>
  <c r="BA53" s="1"/>
  <c r="AX53"/>
  <c r="AY53" s="1"/>
  <c r="C53"/>
  <c r="BF21"/>
  <c r="BE21"/>
  <c r="BD21"/>
  <c r="AZ21"/>
  <c r="BA21" s="1"/>
  <c r="AX21"/>
  <c r="AY21" s="1"/>
  <c r="C21"/>
  <c r="BF64"/>
  <c r="BE64"/>
  <c r="BD64"/>
  <c r="AZ64"/>
  <c r="BA64" s="1"/>
  <c r="AX64"/>
  <c r="AY64" s="1"/>
  <c r="C64"/>
  <c r="BF48"/>
  <c r="BE48"/>
  <c r="BD48"/>
  <c r="AZ48"/>
  <c r="BA48" s="1"/>
  <c r="AX48"/>
  <c r="AY48" s="1"/>
  <c r="C48"/>
  <c r="BF67"/>
  <c r="BE67"/>
  <c r="BD67"/>
  <c r="AZ67"/>
  <c r="BA67" s="1"/>
  <c r="AX67"/>
  <c r="AY67" s="1"/>
  <c r="C67"/>
  <c r="BF51"/>
  <c r="BE51"/>
  <c r="BD51"/>
  <c r="AZ51"/>
  <c r="BA51" s="1"/>
  <c r="AX51"/>
  <c r="AY51" s="1"/>
  <c r="C51"/>
  <c r="BF80"/>
  <c r="BE80"/>
  <c r="BD80"/>
  <c r="AZ80"/>
  <c r="BA80" s="1"/>
  <c r="AX80"/>
  <c r="AY80" s="1"/>
  <c r="C80"/>
  <c r="BF11"/>
  <c r="BE11"/>
  <c r="BD11"/>
  <c r="AZ11"/>
  <c r="BA11" s="1"/>
  <c r="AX11"/>
  <c r="AY11" s="1"/>
  <c r="C11"/>
  <c r="BF31"/>
  <c r="BE31"/>
  <c r="BD31"/>
  <c r="AZ31"/>
  <c r="BA31" s="1"/>
  <c r="AX31"/>
  <c r="AY31" s="1"/>
  <c r="C31"/>
  <c r="BF26"/>
  <c r="BE26"/>
  <c r="BD26"/>
  <c r="AZ26"/>
  <c r="BA26" s="1"/>
  <c r="AX26"/>
  <c r="AY26" s="1"/>
  <c r="C26"/>
  <c r="BF61"/>
  <c r="BE61"/>
  <c r="BD61"/>
  <c r="AZ61"/>
  <c r="BA61" s="1"/>
  <c r="AX61"/>
  <c r="AY61" s="1"/>
  <c r="C61"/>
  <c r="BF70"/>
  <c r="BE70"/>
  <c r="BD70"/>
  <c r="AZ70"/>
  <c r="BA70" s="1"/>
  <c r="AX70"/>
  <c r="AY70" s="1"/>
  <c r="C70"/>
  <c r="BF32"/>
  <c r="BE32"/>
  <c r="BD32"/>
  <c r="AZ32"/>
  <c r="BA32" s="1"/>
  <c r="AX32"/>
  <c r="AY32" s="1"/>
  <c r="C32"/>
  <c r="BF43"/>
  <c r="BE43"/>
  <c r="BD43"/>
  <c r="AZ43"/>
  <c r="BA43" s="1"/>
  <c r="AX43"/>
  <c r="AY43" s="1"/>
  <c r="C43"/>
  <c r="BF20"/>
  <c r="BE20"/>
  <c r="BD20"/>
  <c r="AZ20"/>
  <c r="BA20" s="1"/>
  <c r="AX20"/>
  <c r="AY20" s="1"/>
  <c r="C20"/>
  <c r="BF35"/>
  <c r="BE35"/>
  <c r="BD35"/>
  <c r="AZ35"/>
  <c r="BA35" s="1"/>
  <c r="AX35"/>
  <c r="AY35" s="1"/>
  <c r="C35"/>
  <c r="BF63"/>
  <c r="BE63"/>
  <c r="BD63"/>
  <c r="AZ63"/>
  <c r="BA63" s="1"/>
  <c r="AX63"/>
  <c r="AY63" s="1"/>
  <c r="C63"/>
  <c r="BF39"/>
  <c r="BE39"/>
  <c r="BD39"/>
  <c r="AZ39"/>
  <c r="BA39" s="1"/>
  <c r="AX39"/>
  <c r="AY39" s="1"/>
  <c r="C39"/>
  <c r="BF30"/>
  <c r="BE30"/>
  <c r="BD30"/>
  <c r="AZ30"/>
  <c r="BA30" s="1"/>
  <c r="AX30"/>
  <c r="AY30" s="1"/>
  <c r="C30"/>
  <c r="BF69"/>
  <c r="BE69"/>
  <c r="BD69"/>
  <c r="AZ69"/>
  <c r="BA69" s="1"/>
  <c r="AX69"/>
  <c r="AY69" s="1"/>
  <c r="C69"/>
  <c r="BF59"/>
  <c r="BE59"/>
  <c r="BD59"/>
  <c r="AZ59"/>
  <c r="BA59" s="1"/>
  <c r="AX59"/>
  <c r="AY59" s="1"/>
  <c r="C59"/>
  <c r="BF46"/>
  <c r="BE46"/>
  <c r="BD46"/>
  <c r="AZ46"/>
  <c r="BA46" s="1"/>
  <c r="AX46"/>
  <c r="AY46" s="1"/>
  <c r="C46"/>
  <c r="BF73"/>
  <c r="BE73"/>
  <c r="BD73"/>
  <c r="AZ73"/>
  <c r="BA73" s="1"/>
  <c r="AX73"/>
  <c r="AY73" s="1"/>
  <c r="C73"/>
  <c r="BF83"/>
  <c r="BE83"/>
  <c r="BD83"/>
  <c r="AZ83"/>
  <c r="BA83" s="1"/>
  <c r="AX83"/>
  <c r="AY83" s="1"/>
  <c r="C83"/>
  <c r="BF25"/>
  <c r="BE25"/>
  <c r="BD25"/>
  <c r="AZ25"/>
  <c r="BA25" s="1"/>
  <c r="AX25"/>
  <c r="AY25" s="1"/>
  <c r="C25"/>
  <c r="BF38"/>
  <c r="BE38"/>
  <c r="BD38"/>
  <c r="AZ38"/>
  <c r="BA38" s="1"/>
  <c r="AX38"/>
  <c r="AY38" s="1"/>
  <c r="C38"/>
  <c r="BF57"/>
  <c r="BE57"/>
  <c r="BD57"/>
  <c r="AZ57"/>
  <c r="BA57" s="1"/>
  <c r="AX57"/>
  <c r="AY57" s="1"/>
  <c r="C57"/>
  <c r="BF41"/>
  <c r="BE41"/>
  <c r="BD41"/>
  <c r="AZ41"/>
  <c r="BA41" s="1"/>
  <c r="AX41"/>
  <c r="AY41" s="1"/>
  <c r="C41"/>
  <c r="BF55"/>
  <c r="BE55"/>
  <c r="BD55"/>
  <c r="AZ55"/>
  <c r="BA55" s="1"/>
  <c r="AX55"/>
  <c r="AY55" s="1"/>
  <c r="C55"/>
  <c r="BF66"/>
  <c r="BE66"/>
  <c r="BD66"/>
  <c r="AZ66"/>
  <c r="BA66" s="1"/>
  <c r="AX66"/>
  <c r="AY66" s="1"/>
  <c r="C66"/>
  <c r="BF42"/>
  <c r="BE42"/>
  <c r="BD42"/>
  <c r="AZ42"/>
  <c r="BA42" s="1"/>
  <c r="AX42"/>
  <c r="AY42" s="1"/>
  <c r="C42"/>
  <c r="BF44"/>
  <c r="BE44"/>
  <c r="BD44"/>
  <c r="AZ44"/>
  <c r="BA44" s="1"/>
  <c r="AX44"/>
  <c r="AY44" s="1"/>
  <c r="C44"/>
  <c r="BF29"/>
  <c r="BE29"/>
  <c r="BD29"/>
  <c r="AZ29"/>
  <c r="BA29" s="1"/>
  <c r="AX29"/>
  <c r="AY29" s="1"/>
  <c r="C29"/>
  <c r="BF81"/>
  <c r="BE81"/>
  <c r="BD81"/>
  <c r="AZ81"/>
  <c r="BA81" s="1"/>
  <c r="AX81"/>
  <c r="AY81" s="1"/>
  <c r="C81"/>
  <c r="D8"/>
  <c r="B7"/>
  <c r="B6"/>
  <c r="B5"/>
  <c r="B4"/>
  <c r="B3"/>
  <c r="B2"/>
  <c r="J49" i="7" l="1"/>
  <c r="I47"/>
  <c r="I57" s="1"/>
  <c r="I62" s="1"/>
  <c r="F62" i="9"/>
  <c r="H62"/>
  <c r="G62"/>
  <c r="CK29" i="23"/>
  <c r="CK70"/>
  <c r="CK53"/>
  <c r="CK43"/>
  <c r="CK20"/>
  <c r="CK21"/>
  <c r="CK48"/>
  <c r="CK46"/>
  <c r="CK30"/>
  <c r="CK63"/>
  <c r="CK38"/>
  <c r="CK80"/>
  <c r="CK81"/>
  <c r="CK52"/>
  <c r="CK25"/>
  <c r="CK41"/>
  <c r="CK58"/>
  <c r="CK78"/>
  <c r="CK61"/>
  <c r="CK69"/>
  <c r="CK66"/>
  <c r="CK56"/>
  <c r="CK64"/>
  <c r="CK31"/>
  <c r="CK35"/>
  <c r="B8"/>
  <c r="E8" s="1"/>
  <c r="CK67"/>
  <c r="CK44"/>
  <c r="CK11"/>
  <c r="CK39"/>
  <c r="CK59"/>
  <c r="CK83"/>
  <c r="CK57"/>
  <c r="CK77"/>
  <c r="CK79"/>
  <c r="CK51"/>
  <c r="CK26"/>
  <c r="CK32"/>
  <c r="CK73"/>
  <c r="CK55"/>
  <c r="CK42"/>
  <c r="E6"/>
  <c r="BB81"/>
  <c r="BC81" s="1"/>
  <c r="BB66"/>
  <c r="BC66" s="1"/>
  <c r="BB55"/>
  <c r="BC55" s="1"/>
  <c r="BB41"/>
  <c r="BC41" s="1"/>
  <c r="BB57"/>
  <c r="BC57" s="1"/>
  <c r="BB25"/>
  <c r="BC25" s="1"/>
  <c r="BB83"/>
  <c r="BC83" s="1"/>
  <c r="BB73"/>
  <c r="BC73" s="1"/>
  <c r="BB46"/>
  <c r="BC46" s="1"/>
  <c r="BB59"/>
  <c r="BC59" s="1"/>
  <c r="BB69"/>
  <c r="BC69" s="1"/>
  <c r="BB30"/>
  <c r="BC30" s="1"/>
  <c r="BB39"/>
  <c r="BC39" s="1"/>
  <c r="BB63"/>
  <c r="BC63" s="1"/>
  <c r="BB35"/>
  <c r="BC35" s="1"/>
  <c r="BB20"/>
  <c r="BC20" s="1"/>
  <c r="BB43"/>
  <c r="BC43" s="1"/>
  <c r="BB32"/>
  <c r="BC32" s="1"/>
  <c r="BB70"/>
  <c r="BC70" s="1"/>
  <c r="BB61"/>
  <c r="BC61" s="1"/>
  <c r="BB26"/>
  <c r="BC26" s="1"/>
  <c r="BB31"/>
  <c r="BC31" s="1"/>
  <c r="BB11"/>
  <c r="BC11" s="1"/>
  <c r="BB80"/>
  <c r="BC80" s="1"/>
  <c r="BB51"/>
  <c r="BC51" s="1"/>
  <c r="BB67"/>
  <c r="BC67" s="1"/>
  <c r="BB48"/>
  <c r="BC48" s="1"/>
  <c r="BB64"/>
  <c r="BC64" s="1"/>
  <c r="BB21"/>
  <c r="BC21" s="1"/>
  <c r="BB53"/>
  <c r="BC53" s="1"/>
  <c r="BB52"/>
  <c r="BC52" s="1"/>
  <c r="BB79"/>
  <c r="BC79" s="1"/>
  <c r="BB78"/>
  <c r="BC78" s="1"/>
  <c r="BB58"/>
  <c r="BC58" s="1"/>
  <c r="BB56"/>
  <c r="BC56" s="1"/>
  <c r="BB77"/>
  <c r="BC77" s="1"/>
  <c r="E2"/>
  <c r="E4"/>
  <c r="BB29"/>
  <c r="BC29" s="1"/>
  <c r="BB44"/>
  <c r="BC44" s="1"/>
  <c r="BB42"/>
  <c r="BC42" s="1"/>
  <c r="BB38"/>
  <c r="BC38" s="1"/>
  <c r="E3"/>
  <c r="E5"/>
  <c r="BR58" i="22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BR77"/>
  <c r="BS77"/>
  <c r="BT77"/>
  <c r="BU77"/>
  <c r="BV77"/>
  <c r="BW77"/>
  <c r="BX77"/>
  <c r="BY77"/>
  <c r="BZ77"/>
  <c r="CA77"/>
  <c r="CB77"/>
  <c r="CC77"/>
  <c r="CD77"/>
  <c r="CE77"/>
  <c r="CF77"/>
  <c r="CG77"/>
  <c r="CH77"/>
  <c r="CI77"/>
  <c r="CJ77"/>
  <c r="CK77"/>
  <c r="CL77"/>
  <c r="CM77"/>
  <c r="CN77"/>
  <c r="CO77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BR68"/>
  <c r="BS68"/>
  <c r="BT68"/>
  <c r="BU68"/>
  <c r="BV68"/>
  <c r="BW68"/>
  <c r="BX68"/>
  <c r="BY68"/>
  <c r="BZ68"/>
  <c r="CA68"/>
  <c r="CB68"/>
  <c r="CC68"/>
  <c r="CD68"/>
  <c r="CE68"/>
  <c r="CF68"/>
  <c r="CG68"/>
  <c r="CH68"/>
  <c r="CI68"/>
  <c r="CJ68"/>
  <c r="CK68"/>
  <c r="CL68"/>
  <c r="CM68"/>
  <c r="CN68"/>
  <c r="CO68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BR71"/>
  <c r="BS71"/>
  <c r="BT71"/>
  <c r="BU71"/>
  <c r="BV71"/>
  <c r="BW71"/>
  <c r="BX71"/>
  <c r="BY71"/>
  <c r="BZ71"/>
  <c r="CA71"/>
  <c r="CB71"/>
  <c r="CC71"/>
  <c r="CD71"/>
  <c r="CE71"/>
  <c r="CF71"/>
  <c r="CG71"/>
  <c r="CH71"/>
  <c r="CI71"/>
  <c r="CJ71"/>
  <c r="CK71"/>
  <c r="CL71"/>
  <c r="CM71"/>
  <c r="CN71"/>
  <c r="CO71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BR83"/>
  <c r="BS83"/>
  <c r="BT83"/>
  <c r="BU83"/>
  <c r="BV83"/>
  <c r="BW83"/>
  <c r="BX83"/>
  <c r="BY83"/>
  <c r="BZ83"/>
  <c r="CA83"/>
  <c r="CB83"/>
  <c r="CC83"/>
  <c r="CD83"/>
  <c r="CE83"/>
  <c r="CF83"/>
  <c r="CG83"/>
  <c r="CH83"/>
  <c r="CI83"/>
  <c r="CJ83"/>
  <c r="CK83"/>
  <c r="CL83"/>
  <c r="CM83"/>
  <c r="CN83"/>
  <c r="CO83"/>
  <c r="BR86"/>
  <c r="BS86"/>
  <c r="BT86"/>
  <c r="BU86"/>
  <c r="BV86"/>
  <c r="BW86"/>
  <c r="BX86"/>
  <c r="BY86"/>
  <c r="BZ86"/>
  <c r="CA86"/>
  <c r="CB86"/>
  <c r="CC86"/>
  <c r="CD86"/>
  <c r="CE86"/>
  <c r="CF86"/>
  <c r="CG86"/>
  <c r="CH86"/>
  <c r="CI86"/>
  <c r="CJ86"/>
  <c r="CK86"/>
  <c r="CL86"/>
  <c r="CM86"/>
  <c r="CN86"/>
  <c r="CO86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BR73"/>
  <c r="BS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CK73"/>
  <c r="CL73"/>
  <c r="CM73"/>
  <c r="CN73"/>
  <c r="CO73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BR76"/>
  <c r="BS76"/>
  <c r="BT76"/>
  <c r="BU76"/>
  <c r="BV76"/>
  <c r="BW76"/>
  <c r="BX76"/>
  <c r="BY76"/>
  <c r="BZ76"/>
  <c r="CA76"/>
  <c r="CB76"/>
  <c r="CC76"/>
  <c r="CD76"/>
  <c r="CE76"/>
  <c r="CF76"/>
  <c r="CG76"/>
  <c r="CH76"/>
  <c r="CI76"/>
  <c r="CJ76"/>
  <c r="CK76"/>
  <c r="CL76"/>
  <c r="CM76"/>
  <c r="CN76"/>
  <c r="CO76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BR64"/>
  <c r="BS64"/>
  <c r="BT64"/>
  <c r="BU64"/>
  <c r="BV64"/>
  <c r="BW64"/>
  <c r="BX64"/>
  <c r="BY64"/>
  <c r="BZ64"/>
  <c r="CA64"/>
  <c r="CB64"/>
  <c r="CC64"/>
  <c r="CD64"/>
  <c r="CE64"/>
  <c r="CF64"/>
  <c r="CG64"/>
  <c r="CH64"/>
  <c r="CI64"/>
  <c r="CJ64"/>
  <c r="CK64"/>
  <c r="CL64"/>
  <c r="CM64"/>
  <c r="CN64"/>
  <c r="CO64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BR63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BR69"/>
  <c r="BS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CK69"/>
  <c r="CL69"/>
  <c r="CM69"/>
  <c r="CN69"/>
  <c r="CO69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BR70"/>
  <c r="BS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CK70"/>
  <c r="CL70"/>
  <c r="CM70"/>
  <c r="CN70"/>
  <c r="CO7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CK65"/>
  <c r="CL65"/>
  <c r="CM65"/>
  <c r="CN65"/>
  <c r="CO65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BR84"/>
  <c r="BS84"/>
  <c r="BT84"/>
  <c r="BU84"/>
  <c r="BV84"/>
  <c r="BW84"/>
  <c r="BX84"/>
  <c r="BY84"/>
  <c r="BZ84"/>
  <c r="CA84"/>
  <c r="CB84"/>
  <c r="CC84"/>
  <c r="CD84"/>
  <c r="CE84"/>
  <c r="CF84"/>
  <c r="CG84"/>
  <c r="CH84"/>
  <c r="CI84"/>
  <c r="CJ84"/>
  <c r="CK84"/>
  <c r="CL84"/>
  <c r="CM84"/>
  <c r="CN84"/>
  <c r="CO84"/>
  <c r="CF10"/>
  <c r="CG10"/>
  <c r="CH10"/>
  <c r="CI10"/>
  <c r="CJ10"/>
  <c r="CK10"/>
  <c r="CL10"/>
  <c r="CM10"/>
  <c r="CN10"/>
  <c r="CO10"/>
  <c r="CF25"/>
  <c r="CG25"/>
  <c r="CH25"/>
  <c r="CI25"/>
  <c r="CJ25"/>
  <c r="CK25"/>
  <c r="CL25"/>
  <c r="CM25"/>
  <c r="CN25"/>
  <c r="CO25"/>
  <c r="CE25"/>
  <c r="CD25"/>
  <c r="CC25"/>
  <c r="CB25"/>
  <c r="CA25"/>
  <c r="BZ25"/>
  <c r="BY25"/>
  <c r="BX25"/>
  <c r="BW25"/>
  <c r="BV25"/>
  <c r="BU25"/>
  <c r="BT25"/>
  <c r="BS25"/>
  <c r="BR25"/>
  <c r="BT10"/>
  <c r="BU10"/>
  <c r="BV10"/>
  <c r="BW10"/>
  <c r="BX10"/>
  <c r="BY10"/>
  <c r="BZ10"/>
  <c r="CA10"/>
  <c r="CB10"/>
  <c r="CC10"/>
  <c r="CD10"/>
  <c r="CE10"/>
  <c r="BS10"/>
  <c r="BR10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S84"/>
  <c r="AT84" s="1"/>
  <c r="AR84"/>
  <c r="E84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S13"/>
  <c r="AT13" s="1"/>
  <c r="AR13"/>
  <c r="E13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S65"/>
  <c r="AT65" s="1"/>
  <c r="AR65"/>
  <c r="E65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S59"/>
  <c r="AT59" s="1"/>
  <c r="AR59"/>
  <c r="E59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S20"/>
  <c r="AT20" s="1"/>
  <c r="AR20"/>
  <c r="E20"/>
  <c r="BQ70"/>
  <c r="BP70"/>
  <c r="BO70"/>
  <c r="BN70"/>
  <c r="BM70"/>
  <c r="BL70"/>
  <c r="BK70"/>
  <c r="BJ70"/>
  <c r="BI70"/>
  <c r="BH70"/>
  <c r="BG70"/>
  <c r="BF70"/>
  <c r="BE70"/>
  <c r="BD70"/>
  <c r="BC70"/>
  <c r="BB70"/>
  <c r="BA70"/>
  <c r="AZ70"/>
  <c r="AY70"/>
  <c r="AX70"/>
  <c r="AW70"/>
  <c r="AS70"/>
  <c r="AT70" s="1"/>
  <c r="AR70"/>
  <c r="E70"/>
  <c r="BQ50"/>
  <c r="BP50"/>
  <c r="BO50"/>
  <c r="BN50"/>
  <c r="BM50"/>
  <c r="BL50"/>
  <c r="BK50"/>
  <c r="BJ50"/>
  <c r="BI50"/>
  <c r="BH50"/>
  <c r="BG50"/>
  <c r="BF50"/>
  <c r="BE50"/>
  <c r="BD50"/>
  <c r="BC50"/>
  <c r="BB50"/>
  <c r="BA50"/>
  <c r="AZ50"/>
  <c r="AY50"/>
  <c r="AX50"/>
  <c r="AW50"/>
  <c r="AS50"/>
  <c r="AT50" s="1"/>
  <c r="AR50"/>
  <c r="E50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S62"/>
  <c r="AT62" s="1"/>
  <c r="AR62"/>
  <c r="E62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S15"/>
  <c r="AT15" s="1"/>
  <c r="AR15"/>
  <c r="E15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S27"/>
  <c r="AT27" s="1"/>
  <c r="AR27"/>
  <c r="E27"/>
  <c r="BQ69"/>
  <c r="BP69"/>
  <c r="BO69"/>
  <c r="BN69"/>
  <c r="BM69"/>
  <c r="BL69"/>
  <c r="BK69"/>
  <c r="BJ69"/>
  <c r="BI69"/>
  <c r="BH69"/>
  <c r="BG69"/>
  <c r="BF69"/>
  <c r="BE69"/>
  <c r="BD69"/>
  <c r="BC69"/>
  <c r="BB69"/>
  <c r="BA69"/>
  <c r="AZ69"/>
  <c r="AY69"/>
  <c r="AX69"/>
  <c r="AW69"/>
  <c r="AS69"/>
  <c r="AT69" s="1"/>
  <c r="AR69"/>
  <c r="E69"/>
  <c r="BQ63"/>
  <c r="BP63"/>
  <c r="BO63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S63"/>
  <c r="AT63" s="1"/>
  <c r="AR63"/>
  <c r="E63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S26"/>
  <c r="AT26" s="1"/>
  <c r="AR26"/>
  <c r="E26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S55"/>
  <c r="AT55" s="1"/>
  <c r="AR55"/>
  <c r="E55"/>
  <c r="BQ52"/>
  <c r="BP52"/>
  <c r="BO52"/>
  <c r="BN52"/>
  <c r="BM52"/>
  <c r="BL52"/>
  <c r="BK52"/>
  <c r="BJ52"/>
  <c r="BI52"/>
  <c r="BH52"/>
  <c r="BG52"/>
  <c r="BF52"/>
  <c r="BE52"/>
  <c r="BD52"/>
  <c r="BC52"/>
  <c r="BB52"/>
  <c r="BA52"/>
  <c r="AZ52"/>
  <c r="AY52"/>
  <c r="AX52"/>
  <c r="AW52"/>
  <c r="AS52"/>
  <c r="AT52" s="1"/>
  <c r="AR52"/>
  <c r="E52"/>
  <c r="BQ46"/>
  <c r="BP46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S46"/>
  <c r="AT46" s="1"/>
  <c r="AR46"/>
  <c r="E46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S64"/>
  <c r="AT64" s="1"/>
  <c r="AR64"/>
  <c r="E64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S17"/>
  <c r="AT17" s="1"/>
  <c r="AR17"/>
  <c r="E17"/>
  <c r="BQ45"/>
  <c r="BP45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S45"/>
  <c r="AT45" s="1"/>
  <c r="AR45"/>
  <c r="E45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S40"/>
  <c r="AT40" s="1"/>
  <c r="AR40"/>
  <c r="E40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S22"/>
  <c r="AT22" s="1"/>
  <c r="AR22"/>
  <c r="E22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S76"/>
  <c r="AT76" s="1"/>
  <c r="AR76"/>
  <c r="E7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S56"/>
  <c r="AT56" s="1"/>
  <c r="AR56"/>
  <c r="E5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S36"/>
  <c r="AT36" s="1"/>
  <c r="AR36"/>
  <c r="E36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S57"/>
  <c r="AT57" s="1"/>
  <c r="AR57"/>
  <c r="E5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S37"/>
  <c r="AT37" s="1"/>
  <c r="AR37"/>
  <c r="E37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S19"/>
  <c r="AT19" s="1"/>
  <c r="AR19"/>
  <c r="E19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S73"/>
  <c r="AT73" s="1"/>
  <c r="AR73"/>
  <c r="E73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S14"/>
  <c r="AT14" s="1"/>
  <c r="AR14"/>
  <c r="E14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S86"/>
  <c r="AT86" s="1"/>
  <c r="AR86"/>
  <c r="E86"/>
  <c r="BQ83"/>
  <c r="BP83"/>
  <c r="BO83"/>
  <c r="BN83"/>
  <c r="BM83"/>
  <c r="BL83"/>
  <c r="BK83"/>
  <c r="BJ83"/>
  <c r="BI83"/>
  <c r="BH83"/>
  <c r="BG83"/>
  <c r="BF83"/>
  <c r="BE83"/>
  <c r="BD83"/>
  <c r="BC83"/>
  <c r="BB83"/>
  <c r="BA83"/>
  <c r="AZ83"/>
  <c r="AY83"/>
  <c r="AX83"/>
  <c r="AW83"/>
  <c r="AS83"/>
  <c r="AT83" s="1"/>
  <c r="AR83"/>
  <c r="E83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S18"/>
  <c r="AT18" s="1"/>
  <c r="AR18"/>
  <c r="E18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S54"/>
  <c r="AT54" s="1"/>
  <c r="AR54"/>
  <c r="E54"/>
  <c r="BQ71"/>
  <c r="BP71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S71"/>
  <c r="AT71" s="1"/>
  <c r="AR71"/>
  <c r="E71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S49"/>
  <c r="AT49" s="1"/>
  <c r="AR49"/>
  <c r="E49"/>
  <c r="BQ43"/>
  <c r="BP43"/>
  <c r="BO43"/>
  <c r="BN43"/>
  <c r="BM43"/>
  <c r="BL43"/>
  <c r="BK43"/>
  <c r="BJ43"/>
  <c r="BI43"/>
  <c r="BH43"/>
  <c r="BG43"/>
  <c r="BF43"/>
  <c r="BE43"/>
  <c r="BD43"/>
  <c r="BC43"/>
  <c r="BB43"/>
  <c r="BA43"/>
  <c r="AZ43"/>
  <c r="AY43"/>
  <c r="AX43"/>
  <c r="AW43"/>
  <c r="AS43"/>
  <c r="AT43" s="1"/>
  <c r="AR43"/>
  <c r="E43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S61"/>
  <c r="AT61" s="1"/>
  <c r="AR61"/>
  <c r="E61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S30"/>
  <c r="AT30" s="1"/>
  <c r="AR30"/>
  <c r="E30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S74"/>
  <c r="AT74" s="1"/>
  <c r="AR74"/>
  <c r="E74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AX68"/>
  <c r="AW68"/>
  <c r="AS68"/>
  <c r="AT68" s="1"/>
  <c r="AR68"/>
  <c r="E68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S60"/>
  <c r="AT60" s="1"/>
  <c r="AR60"/>
  <c r="E60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S77"/>
  <c r="AT77" s="1"/>
  <c r="AR77"/>
  <c r="E77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S23"/>
  <c r="AT23" s="1"/>
  <c r="AR23"/>
  <c r="E23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S24"/>
  <c r="AT24" s="1"/>
  <c r="AR24"/>
  <c r="E2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S44"/>
  <c r="AT44" s="1"/>
  <c r="AR44"/>
  <c r="E44"/>
  <c r="BQ48"/>
  <c r="BP48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S48"/>
  <c r="AT48" s="1"/>
  <c r="AR48"/>
  <c r="E48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S39"/>
  <c r="AT39" s="1"/>
  <c r="AR39"/>
  <c r="E39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S51"/>
  <c r="AT51" s="1"/>
  <c r="AR51"/>
  <c r="E5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S31"/>
  <c r="AT31" s="1"/>
  <c r="AR31"/>
  <c r="E31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S58"/>
  <c r="AT58" s="1"/>
  <c r="AR58"/>
  <c r="E58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S25"/>
  <c r="AT25" s="1"/>
  <c r="AR25"/>
  <c r="E25"/>
  <c r="D8"/>
  <c r="B7"/>
  <c r="B5"/>
  <c r="B4"/>
  <c r="B3"/>
  <c r="B2"/>
  <c r="I56" i="7"/>
  <c r="I82" s="1"/>
  <c r="H56"/>
  <c r="H82" s="1"/>
  <c r="D8" i="5"/>
  <c r="D8" i="6"/>
  <c r="C2" i="5"/>
  <c r="B7" i="6"/>
  <c r="C7" i="5" s="1"/>
  <c r="B7"/>
  <c r="I70" i="9"/>
  <c r="I69"/>
  <c r="I67"/>
  <c r="I66"/>
  <c r="I65"/>
  <c r="I61"/>
  <c r="I58"/>
  <c r="I57"/>
  <c r="I56"/>
  <c r="I55"/>
  <c r="I54"/>
  <c r="I53"/>
  <c r="E6" i="6"/>
  <c r="E5"/>
  <c r="E4"/>
  <c r="E3"/>
  <c r="C21" i="9"/>
  <c r="C13"/>
  <c r="E45" s="1"/>
  <c r="C2"/>
  <c r="Z54"/>
  <c r="AA54"/>
  <c r="AB54"/>
  <c r="Z55"/>
  <c r="AA55"/>
  <c r="AB55"/>
  <c r="Z56"/>
  <c r="AA56"/>
  <c r="AB56"/>
  <c r="Z57"/>
  <c r="AA57"/>
  <c r="AB57"/>
  <c r="Z58"/>
  <c r="AA58"/>
  <c r="AB58"/>
  <c r="Z61"/>
  <c r="AA61"/>
  <c r="AB61"/>
  <c r="Z65"/>
  <c r="AA65"/>
  <c r="AB65"/>
  <c r="Z66"/>
  <c r="AA66"/>
  <c r="AB66"/>
  <c r="Z67"/>
  <c r="AA67"/>
  <c r="AB67"/>
  <c r="Z69"/>
  <c r="AA69"/>
  <c r="AB69"/>
  <c r="Z70"/>
  <c r="AA70"/>
  <c r="AB70"/>
  <c r="AB53"/>
  <c r="AA53"/>
  <c r="Z53"/>
  <c r="BN77" i="5"/>
  <c r="BL77"/>
  <c r="BM77"/>
  <c r="BC77"/>
  <c r="BD77"/>
  <c r="BE77"/>
  <c r="K14" i="9"/>
  <c r="K11"/>
  <c r="L11"/>
  <c r="H11" s="1"/>
  <c r="C49"/>
  <c r="C48"/>
  <c r="N69"/>
  <c r="M69"/>
  <c r="L69"/>
  <c r="K69"/>
  <c r="D69"/>
  <c r="E41" i="25" s="1"/>
  <c r="K66" i="9"/>
  <c r="L66"/>
  <c r="M66"/>
  <c r="N66"/>
  <c r="K67"/>
  <c r="L67"/>
  <c r="M67"/>
  <c r="N67"/>
  <c r="K70"/>
  <c r="L70"/>
  <c r="M70"/>
  <c r="N70"/>
  <c r="N65"/>
  <c r="M65"/>
  <c r="L65"/>
  <c r="K65"/>
  <c r="N61"/>
  <c r="M61"/>
  <c r="L61"/>
  <c r="K61"/>
  <c r="K54"/>
  <c r="L54"/>
  <c r="M54"/>
  <c r="N54"/>
  <c r="K55"/>
  <c r="L55"/>
  <c r="M55"/>
  <c r="N55"/>
  <c r="K56"/>
  <c r="N56"/>
  <c r="K57"/>
  <c r="L57"/>
  <c r="M57"/>
  <c r="N57"/>
  <c r="N58"/>
  <c r="N53"/>
  <c r="M53"/>
  <c r="L53"/>
  <c r="K53"/>
  <c r="O51"/>
  <c r="O68" s="1"/>
  <c r="BG77" i="5"/>
  <c r="AX77"/>
  <c r="BK77"/>
  <c r="BJ77"/>
  <c r="BI77"/>
  <c r="BH77"/>
  <c r="BF77"/>
  <c r="BB77"/>
  <c r="BA77"/>
  <c r="AZ77"/>
  <c r="AY77"/>
  <c r="AW77"/>
  <c r="AY24" i="9"/>
  <c r="AX24"/>
  <c r="AW24"/>
  <c r="AV24"/>
  <c r="AU24"/>
  <c r="AY23"/>
  <c r="AX23"/>
  <c r="AW23"/>
  <c r="AV23"/>
  <c r="AU23"/>
  <c r="AY22"/>
  <c r="AX22"/>
  <c r="AW22"/>
  <c r="AV22"/>
  <c r="AU22"/>
  <c r="AY19"/>
  <c r="AX19"/>
  <c r="AW19"/>
  <c r="AV19"/>
  <c r="AU19"/>
  <c r="AY18"/>
  <c r="AX18"/>
  <c r="AW18"/>
  <c r="AV18"/>
  <c r="AU18"/>
  <c r="AY17"/>
  <c r="AX17"/>
  <c r="AW17"/>
  <c r="AV17"/>
  <c r="AU17"/>
  <c r="AY16"/>
  <c r="AX16"/>
  <c r="AW16"/>
  <c r="AV16"/>
  <c r="AU16"/>
  <c r="AY15"/>
  <c r="AX15"/>
  <c r="AW15"/>
  <c r="AV15"/>
  <c r="AU15"/>
  <c r="AY14"/>
  <c r="AX14"/>
  <c r="AW14"/>
  <c r="AV14"/>
  <c r="AU14"/>
  <c r="AY11"/>
  <c r="AX11"/>
  <c r="AW11"/>
  <c r="AV11"/>
  <c r="AU11"/>
  <c r="AY10"/>
  <c r="AX10"/>
  <c r="AW10"/>
  <c r="AV10"/>
  <c r="AU10"/>
  <c r="AY9"/>
  <c r="AX9"/>
  <c r="AW9"/>
  <c r="AV9"/>
  <c r="AU9"/>
  <c r="AY8"/>
  <c r="AX8"/>
  <c r="AW8"/>
  <c r="AV8"/>
  <c r="AU8"/>
  <c r="AY7"/>
  <c r="AX7"/>
  <c r="AW7"/>
  <c r="AV7"/>
  <c r="AU7"/>
  <c r="AY6"/>
  <c r="AX6"/>
  <c r="AW6"/>
  <c r="AV6"/>
  <c r="AU6"/>
  <c r="AY5"/>
  <c r="AX5"/>
  <c r="AW5"/>
  <c r="AV5"/>
  <c r="AU5"/>
  <c r="AY4"/>
  <c r="AX4"/>
  <c r="AW4"/>
  <c r="AV4"/>
  <c r="AU4"/>
  <c r="AY3"/>
  <c r="AX3"/>
  <c r="AW3"/>
  <c r="AV3"/>
  <c r="AU3"/>
  <c r="AJ10"/>
  <c r="AI10"/>
  <c r="AH10"/>
  <c r="AG10"/>
  <c r="AF10"/>
  <c r="AE10"/>
  <c r="AD10"/>
  <c r="T10"/>
  <c r="S10"/>
  <c r="I10" s="1"/>
  <c r="R10"/>
  <c r="Q10"/>
  <c r="P10"/>
  <c r="O10"/>
  <c r="N10"/>
  <c r="M10"/>
  <c r="L10"/>
  <c r="H10" s="1"/>
  <c r="K10"/>
  <c r="J10"/>
  <c r="D10"/>
  <c r="D18"/>
  <c r="I18"/>
  <c r="J18"/>
  <c r="K18"/>
  <c r="L18"/>
  <c r="M18"/>
  <c r="N18"/>
  <c r="O18"/>
  <c r="P18"/>
  <c r="Q18"/>
  <c r="G18" s="1"/>
  <c r="R18"/>
  <c r="S18"/>
  <c r="T18"/>
  <c r="AD18"/>
  <c r="AE18"/>
  <c r="AF18"/>
  <c r="AG18"/>
  <c r="AH18"/>
  <c r="AI18"/>
  <c r="AJ18"/>
  <c r="AJ23"/>
  <c r="AI23"/>
  <c r="AH23"/>
  <c r="AG23"/>
  <c r="AF23"/>
  <c r="AE23"/>
  <c r="AD23"/>
  <c r="T23"/>
  <c r="S23"/>
  <c r="R23"/>
  <c r="Q23"/>
  <c r="P23"/>
  <c r="O23"/>
  <c r="N23"/>
  <c r="M23"/>
  <c r="L23"/>
  <c r="K23"/>
  <c r="J23"/>
  <c r="F23" s="1"/>
  <c r="I23"/>
  <c r="H23"/>
  <c r="G23"/>
  <c r="D23"/>
  <c r="AD24"/>
  <c r="AE24"/>
  <c r="AF24"/>
  <c r="AG24"/>
  <c r="AH24"/>
  <c r="AI24"/>
  <c r="AJ24"/>
  <c r="AJ22"/>
  <c r="P42" s="1"/>
  <c r="AI22"/>
  <c r="O42" s="1"/>
  <c r="AH22"/>
  <c r="N42" s="1"/>
  <c r="AG22"/>
  <c r="M42" s="1"/>
  <c r="AF22"/>
  <c r="L42" s="1"/>
  <c r="AE22"/>
  <c r="K42" s="1"/>
  <c r="AD22"/>
  <c r="J42" s="1"/>
  <c r="AD15"/>
  <c r="AE15"/>
  <c r="AF15"/>
  <c r="AG15"/>
  <c r="AH15"/>
  <c r="AI15"/>
  <c r="AJ15"/>
  <c r="AD16"/>
  <c r="J39" s="1"/>
  <c r="AE16"/>
  <c r="K39" s="1"/>
  <c r="AF16"/>
  <c r="L39" s="1"/>
  <c r="AG16"/>
  <c r="M39" s="1"/>
  <c r="AH16"/>
  <c r="N39" s="1"/>
  <c r="AI16"/>
  <c r="O39" s="1"/>
  <c r="AJ16"/>
  <c r="P39" s="1"/>
  <c r="AD17"/>
  <c r="AE17"/>
  <c r="AF17"/>
  <c r="AG17"/>
  <c r="AH17"/>
  <c r="AI17"/>
  <c r="AJ17"/>
  <c r="AD19"/>
  <c r="AE19"/>
  <c r="AF19"/>
  <c r="AG19"/>
  <c r="AH19"/>
  <c r="AI19"/>
  <c r="AJ19"/>
  <c r="AJ14"/>
  <c r="P46" s="1"/>
  <c r="AI14"/>
  <c r="O46" s="1"/>
  <c r="AH14"/>
  <c r="N46" s="1"/>
  <c r="AG14"/>
  <c r="M46" s="1"/>
  <c r="AF14"/>
  <c r="L46" s="1"/>
  <c r="AE14"/>
  <c r="K46" s="1"/>
  <c r="AD14"/>
  <c r="J46" s="1"/>
  <c r="AD4"/>
  <c r="J43" s="1"/>
  <c r="AE4"/>
  <c r="K43" s="1"/>
  <c r="AF4"/>
  <c r="L43" s="1"/>
  <c r="AG4"/>
  <c r="M43" s="1"/>
  <c r="AH4"/>
  <c r="N43" s="1"/>
  <c r="AI4"/>
  <c r="O43" s="1"/>
  <c r="AJ4"/>
  <c r="P43" s="1"/>
  <c r="AD5"/>
  <c r="J38" s="1"/>
  <c r="AE5"/>
  <c r="K38" s="1"/>
  <c r="AG5"/>
  <c r="M38" s="1"/>
  <c r="AH5"/>
  <c r="N38" s="1"/>
  <c r="AI5"/>
  <c r="O38" s="1"/>
  <c r="AJ5"/>
  <c r="P38" s="1"/>
  <c r="AD6"/>
  <c r="J40" s="1"/>
  <c r="AE6"/>
  <c r="K40" s="1"/>
  <c r="AF6"/>
  <c r="L40" s="1"/>
  <c r="AG6"/>
  <c r="M40" s="1"/>
  <c r="AH6"/>
  <c r="N40" s="1"/>
  <c r="AI6"/>
  <c r="O40" s="1"/>
  <c r="AJ6"/>
  <c r="P40" s="1"/>
  <c r="AD7"/>
  <c r="AE7"/>
  <c r="AF7"/>
  <c r="AG7"/>
  <c r="AH7"/>
  <c r="AI7"/>
  <c r="AJ7"/>
  <c r="AD8"/>
  <c r="AE8"/>
  <c r="AF8"/>
  <c r="AG8"/>
  <c r="AH8"/>
  <c r="AI8"/>
  <c r="AJ8"/>
  <c r="AD9"/>
  <c r="AE9"/>
  <c r="AF9"/>
  <c r="AG9"/>
  <c r="AH9"/>
  <c r="AI9"/>
  <c r="AJ9"/>
  <c r="AD11"/>
  <c r="AE11"/>
  <c r="AF11"/>
  <c r="AG11"/>
  <c r="AH11"/>
  <c r="AI11"/>
  <c r="AJ11"/>
  <c r="AD3"/>
  <c r="J41" s="1"/>
  <c r="AE3"/>
  <c r="K41" s="1"/>
  <c r="AF3"/>
  <c r="L41" s="1"/>
  <c r="AG3"/>
  <c r="M41" s="1"/>
  <c r="AH3"/>
  <c r="N41" s="1"/>
  <c r="AI3"/>
  <c r="O41" s="1"/>
  <c r="AJ3"/>
  <c r="P41" s="1"/>
  <c r="G22"/>
  <c r="H22"/>
  <c r="G24"/>
  <c r="H24"/>
  <c r="J24"/>
  <c r="F24" s="1"/>
  <c r="K24"/>
  <c r="L24"/>
  <c r="J22"/>
  <c r="K22"/>
  <c r="L22"/>
  <c r="J17"/>
  <c r="K17"/>
  <c r="L17"/>
  <c r="J19"/>
  <c r="K19"/>
  <c r="L19"/>
  <c r="J14"/>
  <c r="L14"/>
  <c r="J15"/>
  <c r="K15"/>
  <c r="R45" s="1"/>
  <c r="L15"/>
  <c r="J16"/>
  <c r="K16"/>
  <c r="R39" s="1"/>
  <c r="L16"/>
  <c r="J3"/>
  <c r="K3"/>
  <c r="L3"/>
  <c r="H3" s="1"/>
  <c r="K4"/>
  <c r="L4"/>
  <c r="R43" s="1"/>
  <c r="J5"/>
  <c r="K5"/>
  <c r="L5"/>
  <c r="J6"/>
  <c r="K6"/>
  <c r="L6"/>
  <c r="J7"/>
  <c r="K7"/>
  <c r="L7"/>
  <c r="H7" s="1"/>
  <c r="J8"/>
  <c r="K8"/>
  <c r="L8"/>
  <c r="H8" s="1"/>
  <c r="J9"/>
  <c r="K9"/>
  <c r="L9"/>
  <c r="H9" s="1"/>
  <c r="J11"/>
  <c r="T8"/>
  <c r="S8"/>
  <c r="I8" s="1"/>
  <c r="R8"/>
  <c r="Q8"/>
  <c r="P8"/>
  <c r="O8"/>
  <c r="N8"/>
  <c r="M8"/>
  <c r="D8"/>
  <c r="T9"/>
  <c r="S9"/>
  <c r="I9" s="1"/>
  <c r="R9"/>
  <c r="Q9"/>
  <c r="P9"/>
  <c r="O9"/>
  <c r="N9"/>
  <c r="M9"/>
  <c r="D9"/>
  <c r="D70"/>
  <c r="D67"/>
  <c r="D66"/>
  <c r="D65"/>
  <c r="D62"/>
  <c r="D61"/>
  <c r="E35" i="25" s="1"/>
  <c r="D54" i="9"/>
  <c r="D55"/>
  <c r="D56"/>
  <c r="D57"/>
  <c r="D58"/>
  <c r="D53"/>
  <c r="E30" i="25" s="1"/>
  <c r="T24" i="9"/>
  <c r="S24"/>
  <c r="R24"/>
  <c r="Q24"/>
  <c r="P24"/>
  <c r="O24"/>
  <c r="N24"/>
  <c r="M24"/>
  <c r="I24"/>
  <c r="D24"/>
  <c r="T22"/>
  <c r="S22"/>
  <c r="R22"/>
  <c r="Q22"/>
  <c r="P22"/>
  <c r="O22"/>
  <c r="N22"/>
  <c r="M22"/>
  <c r="Q42" s="1"/>
  <c r="I22"/>
  <c r="D22"/>
  <c r="D4"/>
  <c r="M4"/>
  <c r="N4"/>
  <c r="O4"/>
  <c r="P4"/>
  <c r="Q4"/>
  <c r="R4"/>
  <c r="Q43" s="1"/>
  <c r="S4"/>
  <c r="I4" s="1"/>
  <c r="T4"/>
  <c r="D5"/>
  <c r="M5"/>
  <c r="N5"/>
  <c r="O5"/>
  <c r="P5"/>
  <c r="Q5"/>
  <c r="R5"/>
  <c r="S5"/>
  <c r="T5"/>
  <c r="D6"/>
  <c r="M6"/>
  <c r="N6"/>
  <c r="O6"/>
  <c r="P6"/>
  <c r="Q6"/>
  <c r="R6"/>
  <c r="S6"/>
  <c r="I6" s="1"/>
  <c r="T6"/>
  <c r="Q40" s="1"/>
  <c r="D7"/>
  <c r="M7"/>
  <c r="N7"/>
  <c r="O7"/>
  <c r="P7"/>
  <c r="Q7"/>
  <c r="R7"/>
  <c r="S7"/>
  <c r="I7" s="1"/>
  <c r="T7"/>
  <c r="D11"/>
  <c r="M11"/>
  <c r="N11"/>
  <c r="O11"/>
  <c r="P11"/>
  <c r="Q11"/>
  <c r="R11"/>
  <c r="S11"/>
  <c r="I11" s="1"/>
  <c r="T11"/>
  <c r="T3"/>
  <c r="S3"/>
  <c r="I3" s="1"/>
  <c r="R3"/>
  <c r="Q3"/>
  <c r="P3"/>
  <c r="O3"/>
  <c r="N3"/>
  <c r="M3"/>
  <c r="D3"/>
  <c r="I15"/>
  <c r="I16"/>
  <c r="I17"/>
  <c r="I19"/>
  <c r="I14"/>
  <c r="N14"/>
  <c r="O14"/>
  <c r="P14"/>
  <c r="Q14"/>
  <c r="G14" s="1"/>
  <c r="R14"/>
  <c r="S14"/>
  <c r="T14"/>
  <c r="N15"/>
  <c r="O15"/>
  <c r="P15"/>
  <c r="Q45" s="1"/>
  <c r="Q15"/>
  <c r="G15" s="1"/>
  <c r="R15"/>
  <c r="S15"/>
  <c r="T15"/>
  <c r="N16"/>
  <c r="O16"/>
  <c r="P16"/>
  <c r="Q16"/>
  <c r="R16"/>
  <c r="S16"/>
  <c r="T16"/>
  <c r="N17"/>
  <c r="O17"/>
  <c r="P17"/>
  <c r="Q17"/>
  <c r="G17" s="1"/>
  <c r="R17"/>
  <c r="S17"/>
  <c r="T17"/>
  <c r="N19"/>
  <c r="O19"/>
  <c r="P19"/>
  <c r="Q19"/>
  <c r="G19" s="1"/>
  <c r="R19"/>
  <c r="S19"/>
  <c r="T19"/>
  <c r="M19"/>
  <c r="M17"/>
  <c r="M16"/>
  <c r="M15"/>
  <c r="M14"/>
  <c r="D15"/>
  <c r="D16"/>
  <c r="D17"/>
  <c r="D19"/>
  <c r="D14"/>
  <c r="K55" i="7"/>
  <c r="J55"/>
  <c r="I55"/>
  <c r="H55"/>
  <c r="G55"/>
  <c r="F55"/>
  <c r="E55"/>
  <c r="D55"/>
  <c r="C55"/>
  <c r="B55"/>
  <c r="A55"/>
  <c r="G57"/>
  <c r="G62" s="1"/>
  <c r="BQ77" i="5"/>
  <c r="AS77"/>
  <c r="AT77" s="1"/>
  <c r="AR77"/>
  <c r="BO77"/>
  <c r="BP77"/>
  <c r="D77" l="1"/>
  <c r="C77"/>
  <c r="R41" i="9"/>
  <c r="R44"/>
  <c r="Q41"/>
  <c r="Q44"/>
  <c r="Q46"/>
  <c r="O45"/>
  <c r="M45"/>
  <c r="K45"/>
  <c r="R46"/>
  <c r="P45"/>
  <c r="N45"/>
  <c r="L45"/>
  <c r="J45"/>
  <c r="E37" i="25"/>
  <c r="O44" i="9"/>
  <c r="M44"/>
  <c r="K44"/>
  <c r="P44"/>
  <c r="N44"/>
  <c r="L44"/>
  <c r="J44"/>
  <c r="H55"/>
  <c r="E39"/>
  <c r="E46"/>
  <c r="E42"/>
  <c r="H6"/>
  <c r="R40"/>
  <c r="G16"/>
  <c r="Q39"/>
  <c r="I5"/>
  <c r="I2" s="1"/>
  <c r="Q38"/>
  <c r="H5"/>
  <c r="R38"/>
  <c r="F22"/>
  <c r="F21" s="1"/>
  <c r="R42"/>
  <c r="E34" i="25"/>
  <c r="E32"/>
  <c r="E31"/>
  <c r="E8"/>
  <c r="E11"/>
  <c r="E9"/>
  <c r="P28" i="9"/>
  <c r="N28"/>
  <c r="L28"/>
  <c r="J28"/>
  <c r="O28"/>
  <c r="M28"/>
  <c r="K28"/>
  <c r="Q28"/>
  <c r="E39" i="25"/>
  <c r="L27" i="9"/>
  <c r="E33" i="25"/>
  <c r="E38"/>
  <c r="E40"/>
  <c r="E36"/>
  <c r="O29" i="9"/>
  <c r="M29"/>
  <c r="K29"/>
  <c r="U10"/>
  <c r="X24"/>
  <c r="AZ24"/>
  <c r="AO24"/>
  <c r="AB24"/>
  <c r="AK24"/>
  <c r="Y24"/>
  <c r="AN24"/>
  <c r="AP24"/>
  <c r="V24"/>
  <c r="AR24"/>
  <c r="AT24"/>
  <c r="U24"/>
  <c r="Z24"/>
  <c r="AL24"/>
  <c r="AQ24"/>
  <c r="AM24"/>
  <c r="AA24"/>
  <c r="AC24"/>
  <c r="AS24"/>
  <c r="K27"/>
  <c r="P27"/>
  <c r="N27"/>
  <c r="J27"/>
  <c r="P29"/>
  <c r="N29"/>
  <c r="L29"/>
  <c r="J29"/>
  <c r="O30"/>
  <c r="M30"/>
  <c r="K30"/>
  <c r="O27"/>
  <c r="M27"/>
  <c r="P30"/>
  <c r="N30"/>
  <c r="L30"/>
  <c r="J30"/>
  <c r="E6" i="25"/>
  <c r="E7"/>
  <c r="E5"/>
  <c r="E12"/>
  <c r="E10"/>
  <c r="E4"/>
  <c r="E35" i="9"/>
  <c r="E33"/>
  <c r="E27"/>
  <c r="E28"/>
  <c r="E31"/>
  <c r="K49" i="7"/>
  <c r="J47"/>
  <c r="L31" i="9"/>
  <c r="J31"/>
  <c r="K32"/>
  <c r="M32"/>
  <c r="O32"/>
  <c r="K31"/>
  <c r="J32"/>
  <c r="L32"/>
  <c r="N32"/>
  <c r="P32"/>
  <c r="P31"/>
  <c r="N31"/>
  <c r="O31"/>
  <c r="M31"/>
  <c r="L35"/>
  <c r="H18"/>
  <c r="J34"/>
  <c r="U18"/>
  <c r="L34"/>
  <c r="N34"/>
  <c r="P34"/>
  <c r="K34"/>
  <c r="M34"/>
  <c r="O34"/>
  <c r="O33"/>
  <c r="M33"/>
  <c r="K33"/>
  <c r="P33"/>
  <c r="N33"/>
  <c r="L33"/>
  <c r="J33"/>
  <c r="O35"/>
  <c r="M35"/>
  <c r="J35"/>
  <c r="P35"/>
  <c r="N35"/>
  <c r="K35"/>
  <c r="E34"/>
  <c r="E32"/>
  <c r="E30"/>
  <c r="E29"/>
  <c r="O58"/>
  <c r="Q35"/>
  <c r="Q33"/>
  <c r="Q31"/>
  <c r="Q29"/>
  <c r="Q27"/>
  <c r="W44" s="1"/>
  <c r="Q34"/>
  <c r="Q32"/>
  <c r="Q30"/>
  <c r="F70"/>
  <c r="O66"/>
  <c r="O62"/>
  <c r="O70"/>
  <c r="H70"/>
  <c r="G70"/>
  <c r="AM11"/>
  <c r="AZ19"/>
  <c r="AO19"/>
  <c r="H19"/>
  <c r="Y19"/>
  <c r="U19"/>
  <c r="AK19"/>
  <c r="AN19"/>
  <c r="AP19"/>
  <c r="AB19"/>
  <c r="AS19"/>
  <c r="Z19"/>
  <c r="X19"/>
  <c r="AL19"/>
  <c r="AQ19"/>
  <c r="V19"/>
  <c r="AM19"/>
  <c r="AA19"/>
  <c r="AC19"/>
  <c r="AR19"/>
  <c r="AT19"/>
  <c r="AB11"/>
  <c r="U11"/>
  <c r="U14"/>
  <c r="U23"/>
  <c r="U8"/>
  <c r="U6"/>
  <c r="U4"/>
  <c r="U16"/>
  <c r="U22"/>
  <c r="U3"/>
  <c r="U9"/>
  <c r="U7"/>
  <c r="U5"/>
  <c r="F38" s="1"/>
  <c r="U17"/>
  <c r="U15"/>
  <c r="R28"/>
  <c r="H4"/>
  <c r="H2" s="1"/>
  <c r="R34"/>
  <c r="D84" i="22"/>
  <c r="D17"/>
  <c r="G56" i="7"/>
  <c r="G82" s="1"/>
  <c r="V3" i="9"/>
  <c r="V4"/>
  <c r="R32"/>
  <c r="R30"/>
  <c r="R35"/>
  <c r="R33"/>
  <c r="R31"/>
  <c r="X38" s="1"/>
  <c r="R29"/>
  <c r="X45" s="1"/>
  <c r="R27"/>
  <c r="X44" s="1"/>
  <c r="Y11"/>
  <c r="AA11"/>
  <c r="AC11"/>
  <c r="AS11"/>
  <c r="AZ11"/>
  <c r="AR11"/>
  <c r="AT11"/>
  <c r="C25" i="22"/>
  <c r="D25"/>
  <c r="D37"/>
  <c r="D65"/>
  <c r="D77"/>
  <c r="D26"/>
  <c r="D58"/>
  <c r="D76"/>
  <c r="D14"/>
  <c r="D52"/>
  <c r="D70"/>
  <c r="D40"/>
  <c r="D27"/>
  <c r="D20"/>
  <c r="D13"/>
  <c r="D51"/>
  <c r="D24"/>
  <c r="D83"/>
  <c r="D36"/>
  <c r="D63"/>
  <c r="D62"/>
  <c r="D23"/>
  <c r="D54"/>
  <c r="D45"/>
  <c r="D31"/>
  <c r="D39"/>
  <c r="D44"/>
  <c r="D18"/>
  <c r="D73"/>
  <c r="D57"/>
  <c r="D22"/>
  <c r="D64"/>
  <c r="D55"/>
  <c r="D69"/>
  <c r="D15"/>
  <c r="C13"/>
  <c r="D48"/>
  <c r="D86"/>
  <c r="D19"/>
  <c r="D56"/>
  <c r="D46"/>
  <c r="D50"/>
  <c r="D59"/>
  <c r="C84"/>
  <c r="B8"/>
  <c r="E8" s="1"/>
  <c r="C31"/>
  <c r="C39"/>
  <c r="C48"/>
  <c r="C44"/>
  <c r="C23"/>
  <c r="D60"/>
  <c r="D68"/>
  <c r="C68"/>
  <c r="D74"/>
  <c r="C74"/>
  <c r="D30"/>
  <c r="D61"/>
  <c r="D43"/>
  <c r="D49"/>
  <c r="D71"/>
  <c r="C54"/>
  <c r="C18"/>
  <c r="C86"/>
  <c r="C73"/>
  <c r="C19"/>
  <c r="C57"/>
  <c r="C56"/>
  <c r="C22"/>
  <c r="C45"/>
  <c r="C64"/>
  <c r="C46"/>
  <c r="C55"/>
  <c r="C69"/>
  <c r="C15"/>
  <c r="C50"/>
  <c r="C59"/>
  <c r="C58"/>
  <c r="C51"/>
  <c r="C24"/>
  <c r="C77"/>
  <c r="C83"/>
  <c r="C14"/>
  <c r="C37"/>
  <c r="C36"/>
  <c r="C76"/>
  <c r="C40"/>
  <c r="C17"/>
  <c r="C52"/>
  <c r="C26"/>
  <c r="C63"/>
  <c r="C27"/>
  <c r="C62"/>
  <c r="C70"/>
  <c r="C20"/>
  <c r="C65"/>
  <c r="CQ25"/>
  <c r="C2" i="6"/>
  <c r="C2" i="23"/>
  <c r="C4" i="6"/>
  <c r="F4" s="1"/>
  <c r="C4" i="23"/>
  <c r="C6" i="6"/>
  <c r="F6" s="1"/>
  <c r="C6" i="23"/>
  <c r="CP25" i="22"/>
  <c r="CR25"/>
  <c r="CS25"/>
  <c r="CS84"/>
  <c r="CQ84"/>
  <c r="CS13"/>
  <c r="CQ13"/>
  <c r="CS65"/>
  <c r="CQ65"/>
  <c r="CS59"/>
  <c r="CQ59"/>
  <c r="CS20"/>
  <c r="CQ20"/>
  <c r="CS70"/>
  <c r="CQ70"/>
  <c r="CS50"/>
  <c r="CQ50"/>
  <c r="CS62"/>
  <c r="CQ62"/>
  <c r="CS15"/>
  <c r="CQ15"/>
  <c r="CS27"/>
  <c r="CQ27"/>
  <c r="CS69"/>
  <c r="CQ69"/>
  <c r="CS63"/>
  <c r="CQ63"/>
  <c r="CS26"/>
  <c r="CQ26"/>
  <c r="CS55"/>
  <c r="CQ55"/>
  <c r="CS52"/>
  <c r="CQ52"/>
  <c r="CS46"/>
  <c r="CQ46"/>
  <c r="CS64"/>
  <c r="CQ64"/>
  <c r="CS17"/>
  <c r="CQ17"/>
  <c r="CS45"/>
  <c r="CQ45"/>
  <c r="CS40"/>
  <c r="CQ40"/>
  <c r="CS22"/>
  <c r="CQ22"/>
  <c r="CS76"/>
  <c r="CQ76"/>
  <c r="CS56"/>
  <c r="CQ56"/>
  <c r="CS36"/>
  <c r="CQ36"/>
  <c r="CS57"/>
  <c r="CQ57"/>
  <c r="CS37"/>
  <c r="CQ37"/>
  <c r="CS19"/>
  <c r="CQ19"/>
  <c r="CS73"/>
  <c r="CQ73"/>
  <c r="CS14"/>
  <c r="CQ14"/>
  <c r="CS86"/>
  <c r="CQ86"/>
  <c r="CS83"/>
  <c r="CQ83"/>
  <c r="CS18"/>
  <c r="CQ18"/>
  <c r="CS54"/>
  <c r="CQ54"/>
  <c r="CS71"/>
  <c r="CQ71"/>
  <c r="CS49"/>
  <c r="CQ49"/>
  <c r="CS43"/>
  <c r="CQ43"/>
  <c r="CS61"/>
  <c r="CQ61"/>
  <c r="CS30"/>
  <c r="CQ30"/>
  <c r="CS74"/>
  <c r="CQ74"/>
  <c r="CS68"/>
  <c r="CQ68"/>
  <c r="CS60"/>
  <c r="CQ60"/>
  <c r="CS77"/>
  <c r="CQ77"/>
  <c r="CS23"/>
  <c r="CQ23"/>
  <c r="CS24"/>
  <c r="CQ24"/>
  <c r="CS44"/>
  <c r="CQ44"/>
  <c r="CS48"/>
  <c r="CQ48"/>
  <c r="CS39"/>
  <c r="CQ39"/>
  <c r="CS51"/>
  <c r="CQ51"/>
  <c r="CS31"/>
  <c r="CQ31"/>
  <c r="CS58"/>
  <c r="CQ58"/>
  <c r="C3" i="6"/>
  <c r="F3" s="1"/>
  <c r="C3" i="23"/>
  <c r="C5" i="6"/>
  <c r="F5" s="1"/>
  <c r="C5" i="23"/>
  <c r="C7" i="6"/>
  <c r="C7" i="23"/>
  <c r="CR84" i="22"/>
  <c r="CP84"/>
  <c r="CR13"/>
  <c r="CP13"/>
  <c r="CR65"/>
  <c r="CP65"/>
  <c r="CR59"/>
  <c r="CP59"/>
  <c r="CR20"/>
  <c r="CP20"/>
  <c r="CR70"/>
  <c r="CP70"/>
  <c r="CR50"/>
  <c r="CP50"/>
  <c r="CR62"/>
  <c r="CP62"/>
  <c r="CR15"/>
  <c r="CP15"/>
  <c r="CR27"/>
  <c r="CP27"/>
  <c r="CR69"/>
  <c r="CP69"/>
  <c r="CR63"/>
  <c r="CP63"/>
  <c r="CR26"/>
  <c r="CP26"/>
  <c r="CR55"/>
  <c r="CP55"/>
  <c r="CR52"/>
  <c r="CP52"/>
  <c r="CR46"/>
  <c r="CP46"/>
  <c r="CR64"/>
  <c r="CP64"/>
  <c r="CR17"/>
  <c r="CP17"/>
  <c r="CR45"/>
  <c r="CP45"/>
  <c r="CR40"/>
  <c r="CP40"/>
  <c r="CR22"/>
  <c r="CP22"/>
  <c r="CR76"/>
  <c r="CP76"/>
  <c r="CR56"/>
  <c r="CP56"/>
  <c r="CR36"/>
  <c r="CP36"/>
  <c r="CR57"/>
  <c r="CP57"/>
  <c r="CR37"/>
  <c r="CP37"/>
  <c r="CR19"/>
  <c r="CP19"/>
  <c r="CR73"/>
  <c r="CP73"/>
  <c r="CR14"/>
  <c r="CP14"/>
  <c r="CR86"/>
  <c r="CP86"/>
  <c r="CR83"/>
  <c r="CP83"/>
  <c r="CR18"/>
  <c r="CP18"/>
  <c r="CR54"/>
  <c r="CP54"/>
  <c r="CR71"/>
  <c r="CP71"/>
  <c r="CR49"/>
  <c r="CP49"/>
  <c r="CR43"/>
  <c r="CP43"/>
  <c r="CR61"/>
  <c r="CP61"/>
  <c r="CR30"/>
  <c r="CP30"/>
  <c r="CR74"/>
  <c r="CP74"/>
  <c r="CR68"/>
  <c r="CP68"/>
  <c r="CR60"/>
  <c r="CP60"/>
  <c r="CR77"/>
  <c r="CP77"/>
  <c r="CR23"/>
  <c r="CP23"/>
  <c r="CR24"/>
  <c r="CP24"/>
  <c r="CR44"/>
  <c r="CP44"/>
  <c r="CR48"/>
  <c r="CP48"/>
  <c r="CR39"/>
  <c r="CP39"/>
  <c r="CR51"/>
  <c r="CP51"/>
  <c r="CR31"/>
  <c r="CP31"/>
  <c r="CR58"/>
  <c r="CP58"/>
  <c r="C2"/>
  <c r="F2" s="1"/>
  <c r="C3"/>
  <c r="G3" s="1"/>
  <c r="C4"/>
  <c r="F4" s="1"/>
  <c r="C5"/>
  <c r="F5" s="1"/>
  <c r="C6"/>
  <c r="F6" s="1"/>
  <c r="C7"/>
  <c r="G4"/>
  <c r="E4"/>
  <c r="AU58"/>
  <c r="AV58" s="1"/>
  <c r="AU44"/>
  <c r="AV44" s="1"/>
  <c r="AU24"/>
  <c r="AV24" s="1"/>
  <c r="AU23"/>
  <c r="AV23" s="1"/>
  <c r="C30"/>
  <c r="C61"/>
  <c r="C43"/>
  <c r="C49"/>
  <c r="C71"/>
  <c r="E2"/>
  <c r="E6"/>
  <c r="AU25"/>
  <c r="AV25" s="1"/>
  <c r="AU31"/>
  <c r="AV31" s="1"/>
  <c r="AU51"/>
  <c r="AV51" s="1"/>
  <c r="AU39"/>
  <c r="AV39" s="1"/>
  <c r="AU48"/>
  <c r="AV48" s="1"/>
  <c r="AU77"/>
  <c r="AV77" s="1"/>
  <c r="C60"/>
  <c r="E3"/>
  <c r="E5"/>
  <c r="AU60"/>
  <c r="AV60" s="1"/>
  <c r="AU68"/>
  <c r="AV68" s="1"/>
  <c r="AU74"/>
  <c r="AV74" s="1"/>
  <c r="AU30"/>
  <c r="AV30" s="1"/>
  <c r="AU61"/>
  <c r="AV61" s="1"/>
  <c r="AU43"/>
  <c r="AV43" s="1"/>
  <c r="AU49"/>
  <c r="AV49" s="1"/>
  <c r="AU71"/>
  <c r="AV71" s="1"/>
  <c r="AU54"/>
  <c r="AV54" s="1"/>
  <c r="AU18"/>
  <c r="AV18" s="1"/>
  <c r="AU83"/>
  <c r="AV83" s="1"/>
  <c r="AU86"/>
  <c r="AV86" s="1"/>
  <c r="AU14"/>
  <c r="AV14" s="1"/>
  <c r="AU73"/>
  <c r="AV73" s="1"/>
  <c r="AU19"/>
  <c r="AV19" s="1"/>
  <c r="AU37"/>
  <c r="AV37" s="1"/>
  <c r="AU57"/>
  <c r="AV57" s="1"/>
  <c r="AU36"/>
  <c r="AV36" s="1"/>
  <c r="AU56"/>
  <c r="AV56" s="1"/>
  <c r="AU76"/>
  <c r="AV76" s="1"/>
  <c r="AU22"/>
  <c r="AV22" s="1"/>
  <c r="AU40"/>
  <c r="AV40" s="1"/>
  <c r="AU45"/>
  <c r="AV45" s="1"/>
  <c r="AU17"/>
  <c r="AV17" s="1"/>
  <c r="AU64"/>
  <c r="AV64" s="1"/>
  <c r="AU46"/>
  <c r="AV46" s="1"/>
  <c r="AU52"/>
  <c r="AV52" s="1"/>
  <c r="AU55"/>
  <c r="AV55" s="1"/>
  <c r="AU26"/>
  <c r="AV26" s="1"/>
  <c r="AU63"/>
  <c r="AV63" s="1"/>
  <c r="AU69"/>
  <c r="AV69" s="1"/>
  <c r="AU27"/>
  <c r="AV27" s="1"/>
  <c r="AU15"/>
  <c r="AV15" s="1"/>
  <c r="AU62"/>
  <c r="AV62" s="1"/>
  <c r="AU50"/>
  <c r="AV50" s="1"/>
  <c r="AU70"/>
  <c r="AV70" s="1"/>
  <c r="AU20"/>
  <c r="AV20" s="1"/>
  <c r="AU59"/>
  <c r="AV59" s="1"/>
  <c r="AU65"/>
  <c r="AV65" s="1"/>
  <c r="AU13"/>
  <c r="AV13" s="1"/>
  <c r="AU84"/>
  <c r="AV84" s="1"/>
  <c r="F66" i="9"/>
  <c r="E2" i="5"/>
  <c r="E5"/>
  <c r="E3"/>
  <c r="E6"/>
  <c r="E4"/>
  <c r="F2"/>
  <c r="C6"/>
  <c r="G6" s="1"/>
  <c r="C4"/>
  <c r="G4" s="1"/>
  <c r="B8" i="6"/>
  <c r="C5" i="5"/>
  <c r="F5" s="1"/>
  <c r="C3"/>
  <c r="F3" s="1"/>
  <c r="E2" i="6"/>
  <c r="G2" i="5"/>
  <c r="B8"/>
  <c r="E8" s="1"/>
  <c r="H16" i="9"/>
  <c r="H14"/>
  <c r="H15"/>
  <c r="H17"/>
  <c r="AB10"/>
  <c r="AS10"/>
  <c r="AZ3"/>
  <c r="AZ5"/>
  <c r="AZ7"/>
  <c r="AZ9"/>
  <c r="AZ15"/>
  <c r="AZ17"/>
  <c r="AZ23"/>
  <c r="O53"/>
  <c r="O57"/>
  <c r="O55"/>
  <c r="O61"/>
  <c r="O67"/>
  <c r="G67"/>
  <c r="O69"/>
  <c r="P51"/>
  <c r="O56"/>
  <c r="O54"/>
  <c r="O65"/>
  <c r="H66"/>
  <c r="G66"/>
  <c r="AA10"/>
  <c r="AC10"/>
  <c r="AR10"/>
  <c r="AT10"/>
  <c r="AZ10"/>
  <c r="AC5"/>
  <c r="AU77" i="5"/>
  <c r="AV77" s="1"/>
  <c r="AB22" i="9"/>
  <c r="AC23"/>
  <c r="AS4"/>
  <c r="AS6"/>
  <c r="AS8"/>
  <c r="AS14"/>
  <c r="AS16"/>
  <c r="AS18"/>
  <c r="AS22"/>
  <c r="AB8"/>
  <c r="AB6"/>
  <c r="AB4"/>
  <c r="AB16"/>
  <c r="AC3"/>
  <c r="AC9"/>
  <c r="AC7"/>
  <c r="AB14"/>
  <c r="AC17"/>
  <c r="AC15"/>
  <c r="AB18"/>
  <c r="AM3"/>
  <c r="AM5"/>
  <c r="AM7"/>
  <c r="AM9"/>
  <c r="AT15"/>
  <c r="AT17"/>
  <c r="AT23"/>
  <c r="AZ4"/>
  <c r="AZ6"/>
  <c r="AZ8"/>
  <c r="AZ14"/>
  <c r="AZ16"/>
  <c r="AZ18"/>
  <c r="AZ22"/>
  <c r="G65"/>
  <c r="H67"/>
  <c r="H69"/>
  <c r="F67"/>
  <c r="G69"/>
  <c r="F69"/>
  <c r="AB3"/>
  <c r="AA4"/>
  <c r="AC4"/>
  <c r="AB5"/>
  <c r="AA6"/>
  <c r="AC6"/>
  <c r="AB7"/>
  <c r="AA8"/>
  <c r="AC8"/>
  <c r="AB9"/>
  <c r="AA14"/>
  <c r="AC14"/>
  <c r="AB15"/>
  <c r="F45" s="1"/>
  <c r="AA16"/>
  <c r="AC16"/>
  <c r="AB17"/>
  <c r="AA18"/>
  <c r="AC18"/>
  <c r="AA22"/>
  <c r="AC22"/>
  <c r="AB23"/>
  <c r="AS3"/>
  <c r="AR4"/>
  <c r="AT4"/>
  <c r="AS5"/>
  <c r="AR6"/>
  <c r="AT6"/>
  <c r="AS7"/>
  <c r="AR8"/>
  <c r="AT8"/>
  <c r="AS9"/>
  <c r="AR14"/>
  <c r="AT14"/>
  <c r="AS15"/>
  <c r="AR16"/>
  <c r="AT16"/>
  <c r="AS17"/>
  <c r="AR18"/>
  <c r="AT18"/>
  <c r="AR22"/>
  <c r="AT22"/>
  <c r="AS23"/>
  <c r="AA3"/>
  <c r="AA5"/>
  <c r="AA7"/>
  <c r="F44" s="1"/>
  <c r="AA9"/>
  <c r="AA15"/>
  <c r="AA17"/>
  <c r="AA23"/>
  <c r="AR3"/>
  <c r="AT3"/>
  <c r="AR5"/>
  <c r="AT5"/>
  <c r="AR7"/>
  <c r="AT7"/>
  <c r="AR9"/>
  <c r="AT9"/>
  <c r="AR15"/>
  <c r="AR17"/>
  <c r="AR23"/>
  <c r="AM18"/>
  <c r="G13"/>
  <c r="V22"/>
  <c r="V23"/>
  <c r="C50"/>
  <c r="V14"/>
  <c r="V10"/>
  <c r="AM4"/>
  <c r="AM6"/>
  <c r="AM8"/>
  <c r="AM10"/>
  <c r="AP11"/>
  <c r="AK11"/>
  <c r="X11"/>
  <c r="AL11"/>
  <c r="AO11"/>
  <c r="AQ11"/>
  <c r="V11"/>
  <c r="Z11"/>
  <c r="AN11"/>
  <c r="AM16"/>
  <c r="G53"/>
  <c r="F55"/>
  <c r="H61"/>
  <c r="F58"/>
  <c r="G56"/>
  <c r="G54"/>
  <c r="G58"/>
  <c r="H58"/>
  <c r="V8"/>
  <c r="V6"/>
  <c r="V16"/>
  <c r="F39" s="1"/>
  <c r="AM14"/>
  <c r="AM22"/>
  <c r="F53"/>
  <c r="H53"/>
  <c r="H56"/>
  <c r="F56"/>
  <c r="G55"/>
  <c r="H54"/>
  <c r="F54"/>
  <c r="G61"/>
  <c r="V9"/>
  <c r="V7"/>
  <c r="V5"/>
  <c r="V17"/>
  <c r="V15"/>
  <c r="V18"/>
  <c r="F61"/>
  <c r="F57"/>
  <c r="G57"/>
  <c r="H57"/>
  <c r="F65"/>
  <c r="H65"/>
  <c r="AM15"/>
  <c r="AM17"/>
  <c r="AM23"/>
  <c r="G10"/>
  <c r="F10"/>
  <c r="Y3"/>
  <c r="Y9"/>
  <c r="Y7"/>
  <c r="Y5"/>
  <c r="Y17"/>
  <c r="Y15"/>
  <c r="Y18"/>
  <c r="Y14"/>
  <c r="Y10"/>
  <c r="AP3"/>
  <c r="AP5"/>
  <c r="AP7"/>
  <c r="AP9"/>
  <c r="AP15"/>
  <c r="AP17"/>
  <c r="AP23"/>
  <c r="Y8"/>
  <c r="Y6"/>
  <c r="Y4"/>
  <c r="Y16"/>
  <c r="Y22"/>
  <c r="F42" s="1"/>
  <c r="W23"/>
  <c r="Y23"/>
  <c r="AO4"/>
  <c r="AO6"/>
  <c r="AO8"/>
  <c r="AO10"/>
  <c r="AO14"/>
  <c r="AO16"/>
  <c r="AO18"/>
  <c r="AO22"/>
  <c r="Z5"/>
  <c r="Z7"/>
  <c r="Z9"/>
  <c r="Z15"/>
  <c r="Z17"/>
  <c r="Z23"/>
  <c r="AK3"/>
  <c r="AK10"/>
  <c r="AK8"/>
  <c r="AK6"/>
  <c r="H40" s="1"/>
  <c r="AK4"/>
  <c r="H43" s="1"/>
  <c r="AK15"/>
  <c r="AK22"/>
  <c r="H42" s="1"/>
  <c r="AK18"/>
  <c r="W3"/>
  <c r="X4"/>
  <c r="X6"/>
  <c r="X8"/>
  <c r="X10"/>
  <c r="X14"/>
  <c r="X16"/>
  <c r="X18"/>
  <c r="X22"/>
  <c r="AO3"/>
  <c r="AQ3"/>
  <c r="AL4"/>
  <c r="AN4"/>
  <c r="AP4"/>
  <c r="AO5"/>
  <c r="AQ5"/>
  <c r="AL6"/>
  <c r="AN6"/>
  <c r="AP6"/>
  <c r="AO7"/>
  <c r="AQ7"/>
  <c r="AL8"/>
  <c r="AN8"/>
  <c r="AP8"/>
  <c r="AO9"/>
  <c r="AQ9"/>
  <c r="AL10"/>
  <c r="AN10"/>
  <c r="AP10"/>
  <c r="AL14"/>
  <c r="AN14"/>
  <c r="AP14"/>
  <c r="AO15"/>
  <c r="AQ15"/>
  <c r="AL16"/>
  <c r="AN16"/>
  <c r="AP16"/>
  <c r="AO17"/>
  <c r="AQ17"/>
  <c r="AL18"/>
  <c r="AN18"/>
  <c r="AP18"/>
  <c r="AL22"/>
  <c r="AN22"/>
  <c r="AP22"/>
  <c r="AO23"/>
  <c r="AQ23"/>
  <c r="Z4"/>
  <c r="F43" s="1"/>
  <c r="Z6"/>
  <c r="Z8"/>
  <c r="Z10"/>
  <c r="Z14"/>
  <c r="Z16"/>
  <c r="Z18"/>
  <c r="Z22"/>
  <c r="AK9"/>
  <c r="AK7"/>
  <c r="H44" s="1"/>
  <c r="AK5"/>
  <c r="H38" s="1"/>
  <c r="AK14"/>
  <c r="AK16"/>
  <c r="H39" s="1"/>
  <c r="AK23"/>
  <c r="AK17"/>
  <c r="X3"/>
  <c r="X5"/>
  <c r="X7"/>
  <c r="X9"/>
  <c r="X15"/>
  <c r="F30" s="1"/>
  <c r="X17"/>
  <c r="X23"/>
  <c r="Z3"/>
  <c r="AL3"/>
  <c r="AN3"/>
  <c r="AQ4"/>
  <c r="AL5"/>
  <c r="AN5"/>
  <c r="AQ6"/>
  <c r="AL7"/>
  <c r="AN7"/>
  <c r="AQ8"/>
  <c r="AL9"/>
  <c r="AN9"/>
  <c r="AQ10"/>
  <c r="AQ14"/>
  <c r="AL15"/>
  <c r="AN15"/>
  <c r="AQ16"/>
  <c r="AL17"/>
  <c r="AN17"/>
  <c r="AQ18"/>
  <c r="AQ22"/>
  <c r="AL23"/>
  <c r="AN23"/>
  <c r="F8"/>
  <c r="W10"/>
  <c r="F18"/>
  <c r="W18"/>
  <c r="W11"/>
  <c r="W8"/>
  <c r="W6"/>
  <c r="W4"/>
  <c r="G43" s="1"/>
  <c r="W16"/>
  <c r="G39" s="1"/>
  <c r="W22"/>
  <c r="W9"/>
  <c r="W7"/>
  <c r="W5"/>
  <c r="W14"/>
  <c r="W17"/>
  <c r="W15"/>
  <c r="W24"/>
  <c r="W19"/>
  <c r="F19"/>
  <c r="F17"/>
  <c r="G9"/>
  <c r="G8"/>
  <c r="F9"/>
  <c r="F16"/>
  <c r="F14"/>
  <c r="F15"/>
  <c r="G3"/>
  <c r="F3"/>
  <c r="F4"/>
  <c r="G7"/>
  <c r="G5"/>
  <c r="F7"/>
  <c r="F6"/>
  <c r="G6"/>
  <c r="G4"/>
  <c r="F11"/>
  <c r="G11"/>
  <c r="F5"/>
  <c r="H46" l="1"/>
  <c r="F46"/>
  <c r="F41"/>
  <c r="H45"/>
  <c r="H41"/>
  <c r="X41"/>
  <c r="X39"/>
  <c r="X40"/>
  <c r="W40"/>
  <c r="X43"/>
  <c r="W43"/>
  <c r="W38"/>
  <c r="W39"/>
  <c r="W45"/>
  <c r="G45"/>
  <c r="X42"/>
  <c r="W42"/>
  <c r="W41"/>
  <c r="G38"/>
  <c r="G46"/>
  <c r="G44"/>
  <c r="G42"/>
  <c r="F40"/>
  <c r="G40"/>
  <c r="G41"/>
  <c r="W30"/>
  <c r="F28"/>
  <c r="J56" i="7"/>
  <c r="J82" s="1"/>
  <c r="J57"/>
  <c r="J62" s="1"/>
  <c r="G28" i="9"/>
  <c r="G30"/>
  <c r="F27"/>
  <c r="X32"/>
  <c r="X27"/>
  <c r="W32"/>
  <c r="X31"/>
  <c r="W31"/>
  <c r="X30"/>
  <c r="L49" i="7"/>
  <c r="K47"/>
  <c r="G27" i="9"/>
  <c r="W28"/>
  <c r="W34"/>
  <c r="F34"/>
  <c r="X28"/>
  <c r="X33"/>
  <c r="W33"/>
  <c r="F35"/>
  <c r="P68"/>
  <c r="P58"/>
  <c r="X29"/>
  <c r="F31"/>
  <c r="F33"/>
  <c r="W29"/>
  <c r="W27"/>
  <c r="X34"/>
  <c r="F32"/>
  <c r="G32"/>
  <c r="G33"/>
  <c r="G31"/>
  <c r="G35"/>
  <c r="C8" i="25"/>
  <c r="H29" i="9"/>
  <c r="C10" i="25"/>
  <c r="H35" i="9"/>
  <c r="C7" i="25"/>
  <c r="H30" i="9"/>
  <c r="C11" i="25"/>
  <c r="H32" i="9"/>
  <c r="G29"/>
  <c r="F29"/>
  <c r="C6" i="25"/>
  <c r="H33" i="9"/>
  <c r="H28"/>
  <c r="C12" i="25"/>
  <c r="C4"/>
  <c r="H31" i="9"/>
  <c r="C9" i="25"/>
  <c r="H27" i="9"/>
  <c r="C5" i="25"/>
  <c r="H34" i="9"/>
  <c r="G34"/>
  <c r="P62"/>
  <c r="P70"/>
  <c r="G3" i="6"/>
  <c r="G4"/>
  <c r="G5" i="5"/>
  <c r="C8" i="6"/>
  <c r="F8" s="1"/>
  <c r="G2"/>
  <c r="F2"/>
  <c r="G5"/>
  <c r="G2" i="22"/>
  <c r="G6"/>
  <c r="C8"/>
  <c r="F8" s="1"/>
  <c r="F3"/>
  <c r="CT31"/>
  <c r="CT39"/>
  <c r="CT48"/>
  <c r="CT44"/>
  <c r="CT23"/>
  <c r="CT77"/>
  <c r="CT60"/>
  <c r="CT68"/>
  <c r="CT30"/>
  <c r="CT61"/>
  <c r="CT71"/>
  <c r="CT54"/>
  <c r="CT18"/>
  <c r="CT86"/>
  <c r="CT73"/>
  <c r="CT19"/>
  <c r="CT57"/>
  <c r="CT56"/>
  <c r="CT22"/>
  <c r="CT45"/>
  <c r="CT64"/>
  <c r="CT46"/>
  <c r="CT55"/>
  <c r="CT69"/>
  <c r="CT15"/>
  <c r="CT62"/>
  <c r="CT50"/>
  <c r="CT70"/>
  <c r="CT20"/>
  <c r="CT59"/>
  <c r="CT65"/>
  <c r="CT13"/>
  <c r="CT84"/>
  <c r="F5" i="23"/>
  <c r="G5"/>
  <c r="F3"/>
  <c r="G3"/>
  <c r="F6"/>
  <c r="G6"/>
  <c r="F4"/>
  <c r="G4"/>
  <c r="F2"/>
  <c r="G2"/>
  <c r="C8"/>
  <c r="CT58" i="22"/>
  <c r="CT51"/>
  <c r="CT74"/>
  <c r="CT43"/>
  <c r="CT49"/>
  <c r="CT83"/>
  <c r="CT14"/>
  <c r="CT37"/>
  <c r="CT36"/>
  <c r="CT76"/>
  <c r="CT40"/>
  <c r="CT17"/>
  <c r="CT52"/>
  <c r="CT26"/>
  <c r="CT63"/>
  <c r="CT27"/>
  <c r="CT25"/>
  <c r="G6" i="6"/>
  <c r="CT24" i="22"/>
  <c r="G5"/>
  <c r="G3" i="5"/>
  <c r="F6"/>
  <c r="E8" i="6"/>
  <c r="C8" i="5"/>
  <c r="F4"/>
  <c r="P69" i="9"/>
  <c r="P67"/>
  <c r="P61"/>
  <c r="P55"/>
  <c r="P57"/>
  <c r="P53"/>
  <c r="P66"/>
  <c r="P65"/>
  <c r="P54"/>
  <c r="P56"/>
  <c r="Q51"/>
  <c r="H13"/>
  <c r="F13"/>
  <c r="F2"/>
  <c r="G2"/>
  <c r="D7" i="25" l="1"/>
  <c r="D9"/>
  <c r="D4"/>
  <c r="K56" i="7"/>
  <c r="K82" s="1"/>
  <c r="K57"/>
  <c r="K62" s="1"/>
  <c r="D8" i="25"/>
  <c r="D5"/>
  <c r="M49" i="7"/>
  <c r="L47"/>
  <c r="D6" i="25"/>
  <c r="D10"/>
  <c r="D11"/>
  <c r="Q68" i="9"/>
  <c r="Q58"/>
  <c r="Q62"/>
  <c r="Q70"/>
  <c r="G8" i="6"/>
  <c r="G8" i="22"/>
  <c r="F8" i="23"/>
  <c r="G8"/>
  <c r="F8" i="5"/>
  <c r="G8"/>
  <c r="R51" i="9"/>
  <c r="Q66"/>
  <c r="Q65"/>
  <c r="Q54"/>
  <c r="Q56"/>
  <c r="Q69"/>
  <c r="Q67"/>
  <c r="Q61"/>
  <c r="Q55"/>
  <c r="Q57"/>
  <c r="Q53"/>
  <c r="L56" i="7" l="1"/>
  <c r="L57"/>
  <c r="L62" s="1"/>
  <c r="N49"/>
  <c r="N47" s="1"/>
  <c r="M47"/>
  <c r="R68" i="9"/>
  <c r="R58"/>
  <c r="R62"/>
  <c r="R70"/>
  <c r="S51"/>
  <c r="R69"/>
  <c r="R67"/>
  <c r="R61"/>
  <c r="R55"/>
  <c r="R57"/>
  <c r="R53"/>
  <c r="R66"/>
  <c r="R65"/>
  <c r="R54"/>
  <c r="R56"/>
  <c r="M56" i="7" l="1"/>
  <c r="M57"/>
  <c r="M62" s="1"/>
  <c r="N56"/>
  <c r="N57"/>
  <c r="N62" s="1"/>
  <c r="S68" i="9"/>
  <c r="S58"/>
  <c r="S62"/>
  <c r="S70"/>
  <c r="T51"/>
  <c r="S66"/>
  <c r="S65"/>
  <c r="S54"/>
  <c r="S56"/>
  <c r="S69"/>
  <c r="S67"/>
  <c r="S61"/>
  <c r="S55"/>
  <c r="S57"/>
  <c r="S53"/>
  <c r="T68" l="1"/>
  <c r="T58"/>
  <c r="T62"/>
  <c r="T70"/>
  <c r="U51"/>
  <c r="T69"/>
  <c r="T67"/>
  <c r="T61"/>
  <c r="T55"/>
  <c r="T57"/>
  <c r="T53"/>
  <c r="T66"/>
  <c r="T65"/>
  <c r="T54"/>
  <c r="T56"/>
  <c r="U68" l="1"/>
  <c r="U58"/>
  <c r="U62"/>
  <c r="U70"/>
  <c r="V51"/>
  <c r="U66"/>
  <c r="U65"/>
  <c r="U54"/>
  <c r="U56"/>
  <c r="U69"/>
  <c r="U67"/>
  <c r="U61"/>
  <c r="U55"/>
  <c r="U57"/>
  <c r="U53"/>
  <c r="V68" l="1"/>
  <c r="V58"/>
  <c r="V62"/>
  <c r="V70"/>
  <c r="W51"/>
  <c r="V69"/>
  <c r="V67"/>
  <c r="V61"/>
  <c r="V55"/>
  <c r="V57"/>
  <c r="V53"/>
  <c r="V66"/>
  <c r="V65"/>
  <c r="V54"/>
  <c r="V56"/>
  <c r="W68" l="1"/>
  <c r="W58"/>
  <c r="W62"/>
  <c r="W70"/>
  <c r="X51"/>
  <c r="W66"/>
  <c r="W65"/>
  <c r="W54"/>
  <c r="W56"/>
  <c r="W69"/>
  <c r="W67"/>
  <c r="W61"/>
  <c r="W55"/>
  <c r="W57"/>
  <c r="W53"/>
  <c r="X68" l="1"/>
  <c r="X58"/>
  <c r="X62"/>
  <c r="X70"/>
  <c r="Y51"/>
  <c r="X69"/>
  <c r="X67"/>
  <c r="X61"/>
  <c r="X55"/>
  <c r="X57"/>
  <c r="X53"/>
  <c r="X66"/>
  <c r="X65"/>
  <c r="X54"/>
  <c r="X56"/>
  <c r="Y68" l="1"/>
  <c r="J68" s="1"/>
  <c r="Y58"/>
  <c r="J58" s="1"/>
  <c r="Y62"/>
  <c r="J62" s="1"/>
  <c r="Y70"/>
  <c r="J70" s="1"/>
  <c r="Y66"/>
  <c r="J66" s="1"/>
  <c r="Y65"/>
  <c r="J65" s="1"/>
  <c r="Y54"/>
  <c r="J54" s="1"/>
  <c r="Y56"/>
  <c r="J56" s="1"/>
  <c r="Y69"/>
  <c r="J69" s="1"/>
  <c r="Y67"/>
  <c r="J67" s="1"/>
  <c r="Y61"/>
  <c r="J61" s="1"/>
  <c r="Y55"/>
  <c r="J55" s="1"/>
  <c r="Y57"/>
  <c r="J57" s="1"/>
  <c r="Y53"/>
  <c r="J53" s="1"/>
</calcChain>
</file>

<file path=xl/sharedStrings.xml><?xml version="1.0" encoding="utf-8"?>
<sst xmlns="http://schemas.openxmlformats.org/spreadsheetml/2006/main" count="10664" uniqueCount="652">
  <si>
    <t>87-89 Mph</t>
  </si>
  <si>
    <t>89-90 Mph</t>
  </si>
  <si>
    <t>90-92 Mph</t>
  </si>
  <si>
    <t>92-94 Mph</t>
  </si>
  <si>
    <t>Carlos Rivera</t>
  </si>
  <si>
    <t>95-97 Mph</t>
  </si>
  <si>
    <t>91-93 Mph</t>
  </si>
  <si>
    <t>85-87 Mph</t>
  </si>
  <si>
    <t>Bob Brown</t>
  </si>
  <si>
    <t>Donald Mays</t>
  </si>
  <si>
    <t>Ernesto Ramírez</t>
  </si>
  <si>
    <t>93-95 Mph</t>
  </si>
  <si>
    <t>Hugh Watson</t>
  </si>
  <si>
    <t>Ed Bryant</t>
  </si>
  <si>
    <t>97-99 Mph</t>
  </si>
  <si>
    <t>94-96 Mph</t>
  </si>
  <si>
    <t>Conrad Shelton</t>
  </si>
  <si>
    <t>Will Young</t>
  </si>
  <si>
    <t>DH</t>
  </si>
  <si>
    <t>RP</t>
  </si>
  <si>
    <t>Name</t>
  </si>
  <si>
    <t>OVR</t>
  </si>
  <si>
    <t>POT</t>
  </si>
  <si>
    <t>WE</t>
  </si>
  <si>
    <t>INT</t>
  </si>
  <si>
    <t>CON</t>
  </si>
  <si>
    <t>GAP</t>
  </si>
  <si>
    <t>POW</t>
  </si>
  <si>
    <t>EYE</t>
  </si>
  <si>
    <t>K's</t>
  </si>
  <si>
    <t>CON P</t>
  </si>
  <si>
    <t>GAP P</t>
  </si>
  <si>
    <t>POW P</t>
  </si>
  <si>
    <t>EYE P</t>
  </si>
  <si>
    <t>K P</t>
  </si>
  <si>
    <t>SPE</t>
  </si>
  <si>
    <t>STE</t>
  </si>
  <si>
    <t>RUN</t>
  </si>
  <si>
    <t>SLR</t>
  </si>
  <si>
    <t>YL</t>
  </si>
  <si>
    <t>3 stars</t>
  </si>
  <si>
    <t>-</t>
  </si>
  <si>
    <t>2 stars</t>
  </si>
  <si>
    <t>Ronald Lowry</t>
  </si>
  <si>
    <t>5 stars</t>
  </si>
  <si>
    <t>1 (auto.)</t>
  </si>
  <si>
    <t>1 (arbitr.)</t>
  </si>
  <si>
    <t>1 star</t>
  </si>
  <si>
    <t>4 stars</t>
  </si>
  <si>
    <t>Alberto Flores</t>
  </si>
  <si>
    <t>Jimmy Lord</t>
  </si>
  <si>
    <t>Dave Wells</t>
  </si>
  <si>
    <t>Mike Stephens</t>
  </si>
  <si>
    <t>Martin Smith</t>
  </si>
  <si>
    <t>António Hernández</t>
  </si>
  <si>
    <t>Juan Medrano</t>
  </si>
  <si>
    <t>Craig Parker</t>
  </si>
  <si>
    <t>Jorge Martínez</t>
  </si>
  <si>
    <t>RL</t>
  </si>
  <si>
    <t>STU</t>
  </si>
  <si>
    <t>MOV</t>
  </si>
  <si>
    <t>STU P</t>
  </si>
  <si>
    <t>MOV P</t>
  </si>
  <si>
    <t>FB</t>
  </si>
  <si>
    <t>FBP</t>
  </si>
  <si>
    <t>CH</t>
  </si>
  <si>
    <t>CHP</t>
  </si>
  <si>
    <t>CB</t>
  </si>
  <si>
    <t>CBP</t>
  </si>
  <si>
    <t>SL</t>
  </si>
  <si>
    <t>SLP</t>
  </si>
  <si>
    <t>SI</t>
  </si>
  <si>
    <t>SIP</t>
  </si>
  <si>
    <t>SPP</t>
  </si>
  <si>
    <t>CT</t>
  </si>
  <si>
    <t>CTP</t>
  </si>
  <si>
    <t>FO</t>
  </si>
  <si>
    <t>FOP</t>
  </si>
  <si>
    <t>CC</t>
  </si>
  <si>
    <t>CCP</t>
  </si>
  <si>
    <t>SC</t>
  </si>
  <si>
    <t>SCP</t>
  </si>
  <si>
    <t>KC</t>
  </si>
  <si>
    <t>KCP</t>
  </si>
  <si>
    <t>KN</t>
  </si>
  <si>
    <t>KNP</t>
  </si>
  <si>
    <t>VELO</t>
  </si>
  <si>
    <t>STM</t>
  </si>
  <si>
    <t>G/F</t>
  </si>
  <si>
    <t>Exp</t>
  </si>
  <si>
    <t>At Now</t>
  </si>
  <si>
    <t>At Pot</t>
  </si>
  <si>
    <t>At Exp</t>
  </si>
  <si>
    <t>Samuel Kettley</t>
  </si>
  <si>
    <t>Age</t>
  </si>
  <si>
    <t>C</t>
  </si>
  <si>
    <t>K</t>
  </si>
  <si>
    <t>1B</t>
  </si>
  <si>
    <t>2B</t>
  </si>
  <si>
    <t>3B</t>
  </si>
  <si>
    <t>SS</t>
  </si>
  <si>
    <t>LF</t>
  </si>
  <si>
    <t>CF</t>
  </si>
  <si>
    <t>RF</t>
  </si>
  <si>
    <t>B</t>
  </si>
  <si>
    <t>T</t>
  </si>
  <si>
    <t>L</t>
  </si>
  <si>
    <t>R</t>
  </si>
  <si>
    <t>BR</t>
  </si>
  <si>
    <t>S</t>
  </si>
  <si>
    <t>MR</t>
  </si>
  <si>
    <t>SP</t>
  </si>
  <si>
    <t>CL</t>
  </si>
  <si>
    <t>Def</t>
  </si>
  <si>
    <t>POS</t>
  </si>
  <si>
    <t>OVR SMC</t>
  </si>
  <si>
    <t>POT SMC</t>
  </si>
  <si>
    <t>Act</t>
  </si>
  <si>
    <t>FA?</t>
  </si>
  <si>
    <t>nCPE Avg</t>
  </si>
  <si>
    <t>fCPE Avg</t>
  </si>
  <si>
    <t>Player</t>
  </si>
  <si>
    <t>Pos</t>
  </si>
  <si>
    <t>ML Service</t>
  </si>
  <si>
    <t>Arbitration</t>
  </si>
  <si>
    <t>Options</t>
  </si>
  <si>
    <t>Additions</t>
  </si>
  <si>
    <t>Bat Pool</t>
  </si>
  <si>
    <t>Glove Pool</t>
  </si>
  <si>
    <t>SP Pool</t>
  </si>
  <si>
    <t>Swing</t>
  </si>
  <si>
    <t>CL Pool</t>
  </si>
  <si>
    <t>SU</t>
  </si>
  <si>
    <t>RP Pool</t>
  </si>
  <si>
    <t>LHP</t>
  </si>
  <si>
    <t>RHP</t>
  </si>
  <si>
    <t>C Pool</t>
  </si>
  <si>
    <t>IF Arm</t>
  </si>
  <si>
    <t>OF Arm</t>
  </si>
  <si>
    <t>C Arm</t>
  </si>
  <si>
    <t>#1 Hitter (High OBP, Speed)</t>
  </si>
  <si>
    <t>#3 Hitter (High Avg, Power, Eye)</t>
  </si>
  <si>
    <t>#4 Hitter (High Power, One of AVG/EYE)</t>
  </si>
  <si>
    <t>#5 Hitter (High Power)</t>
  </si>
  <si>
    <t>#6 Hitter (Two of High Avg, Power, Eye)</t>
  </si>
  <si>
    <t>#7 Hitter (One of High Avg, Power, Eye)</t>
  </si>
  <si>
    <t>#9 Hitter (One of High Avg, Power, Eye)</t>
  </si>
  <si>
    <t>#8 Hitter (One of High Avg, Power, Eye)</t>
  </si>
  <si>
    <t>G</t>
  </si>
  <si>
    <t>P</t>
  </si>
  <si>
    <t>Contact</t>
  </si>
  <si>
    <t>Gap</t>
  </si>
  <si>
    <t>Power</t>
  </si>
  <si>
    <t>Eye</t>
  </si>
  <si>
    <t>Speed</t>
  </si>
  <si>
    <t>Stealing</t>
  </si>
  <si>
    <t>#5 Hitter (Med Power, One of AVG/Eye)</t>
  </si>
  <si>
    <t>#4 Hitter (High Power, One of AVG/Eye)</t>
  </si>
  <si>
    <t>Lineup</t>
  </si>
  <si>
    <t>Ok?</t>
  </si>
  <si>
    <t>Bat Score</t>
  </si>
  <si>
    <t>BS</t>
  </si>
  <si>
    <t>#8 Hitter (One of High Avg, Gap, Power, Eye)</t>
  </si>
  <si>
    <t>Idl</t>
  </si>
  <si>
    <t>n#1</t>
  </si>
  <si>
    <t>n#2</t>
  </si>
  <si>
    <t>n#3</t>
  </si>
  <si>
    <t>n#4</t>
  </si>
  <si>
    <t>n#5</t>
  </si>
  <si>
    <t>n#6</t>
  </si>
  <si>
    <t>n#7</t>
  </si>
  <si>
    <t>n#8</t>
  </si>
  <si>
    <t>n#9</t>
  </si>
  <si>
    <t>f#1</t>
  </si>
  <si>
    <t>f#2</t>
  </si>
  <si>
    <t>f#3</t>
  </si>
  <si>
    <t>f#4</t>
  </si>
  <si>
    <t>f#5</t>
  </si>
  <si>
    <t>f#6</t>
  </si>
  <si>
    <t>f#7</t>
  </si>
  <si>
    <t>f#8</t>
  </si>
  <si>
    <t>f#9</t>
  </si>
  <si>
    <t>fLin</t>
  </si>
  <si>
    <t>pLin</t>
  </si>
  <si>
    <t>#2 Hitter (High Avg, Low K's or High OBP)</t>
  </si>
  <si>
    <t>Rnk</t>
  </si>
  <si>
    <t>At Least 2 Aces</t>
  </si>
  <si>
    <t>At Least 3 #2's</t>
  </si>
  <si>
    <t>At Least 4 #3's</t>
  </si>
  <si>
    <t>Stuff</t>
  </si>
  <si>
    <t>Movement</t>
  </si>
  <si>
    <t>Control</t>
  </si>
  <si>
    <t>Pitches</t>
  </si>
  <si>
    <t>Ace</t>
  </si>
  <si>
    <t>Stud</t>
  </si>
  <si>
    <t>Solid</t>
  </si>
  <si>
    <t>#</t>
  </si>
  <si>
    <t>Batters</t>
  </si>
  <si>
    <t>Pitchers</t>
  </si>
  <si>
    <t>Roster Size</t>
  </si>
  <si>
    <t>Alonso Méndez</t>
  </si>
  <si>
    <t>Pot Score</t>
  </si>
  <si>
    <t>Stam</t>
  </si>
  <si>
    <t>Velo</t>
  </si>
  <si>
    <t>GB%</t>
  </si>
  <si>
    <t>IF ARM</t>
  </si>
  <si>
    <t>José Solís</t>
  </si>
  <si>
    <t>QP</t>
  </si>
  <si>
    <t>E</t>
  </si>
  <si>
    <t>Sp</t>
  </si>
  <si>
    <t>St</t>
  </si>
  <si>
    <t>Lvl</t>
  </si>
  <si>
    <t>ML</t>
  </si>
  <si>
    <t>AAA</t>
  </si>
  <si>
    <t>AA</t>
  </si>
  <si>
    <t>A</t>
  </si>
  <si>
    <t>Role</t>
  </si>
  <si>
    <t>Throws</t>
  </si>
  <si>
    <t>Rng</t>
  </si>
  <si>
    <t>ID</t>
  </si>
  <si>
    <t>Rem</t>
  </si>
  <si>
    <t>Tot</t>
  </si>
  <si>
    <t>B%</t>
  </si>
  <si>
    <t>P%</t>
  </si>
  <si>
    <t>T%</t>
  </si>
  <si>
    <t>Gerardo Soto</t>
  </si>
  <si>
    <t>Subtractions</t>
  </si>
  <si>
    <t>Net +/-</t>
  </si>
  <si>
    <t>Very High</t>
  </si>
  <si>
    <t>High</t>
  </si>
  <si>
    <t>Normal</t>
  </si>
  <si>
    <t>Low</t>
  </si>
  <si>
    <t>Very Low</t>
  </si>
  <si>
    <t>Rat</t>
  </si>
  <si>
    <t>Pot</t>
  </si>
  <si>
    <t>Run</t>
  </si>
  <si>
    <t>Arm</t>
  </si>
  <si>
    <t>Tim Boyer</t>
  </si>
  <si>
    <t>Allen Martin</t>
  </si>
  <si>
    <t>Juan Parita</t>
  </si>
  <si>
    <t>Al Lockwood</t>
  </si>
  <si>
    <t>Ethan Martin</t>
  </si>
  <si>
    <t>Millard Bowden</t>
  </si>
  <si>
    <t>Aid</t>
  </si>
  <si>
    <t>Now</t>
  </si>
  <si>
    <t>ML Chance</t>
  </si>
  <si>
    <t>Plan</t>
  </si>
  <si>
    <t>Off</t>
  </si>
  <si>
    <t>Jim Griffin</t>
  </si>
  <si>
    <t>Carlos Ávila</t>
  </si>
  <si>
    <t>Carlos Alicea</t>
  </si>
  <si>
    <t>Brian Mills</t>
  </si>
  <si>
    <t>96-98 Mph</t>
  </si>
  <si>
    <t>Players</t>
  </si>
  <si>
    <t>Have</t>
  </si>
  <si>
    <t>Want</t>
  </si>
  <si>
    <t>Short</t>
  </si>
  <si>
    <t>Net</t>
  </si>
  <si>
    <t>Def Req</t>
  </si>
  <si>
    <t>Arm&gt;7</t>
  </si>
  <si>
    <t>Rng&gt;7</t>
  </si>
  <si>
    <t>Arm&gt;5, Rng&gt;5</t>
  </si>
  <si>
    <t>Rng&gt;5</t>
  </si>
  <si>
    <t>Rng&gt;3</t>
  </si>
  <si>
    <t>Arm&gt;5</t>
  </si>
  <si>
    <t>Total</t>
  </si>
  <si>
    <t>Rng&gt;6</t>
  </si>
  <si>
    <t>Arm&gt;7, Rng&gt;5</t>
  </si>
  <si>
    <t>Arm&gt;6, Rng&gt;5</t>
  </si>
  <si>
    <t>Future</t>
  </si>
  <si>
    <t>General Information</t>
  </si>
  <si>
    <t>Team Focus</t>
  </si>
  <si>
    <t>Staff Payroll</t>
  </si>
  <si>
    <t>Player Payroll</t>
  </si>
  <si>
    <t>Current Budget</t>
  </si>
  <si>
    <t>Projected Balance</t>
  </si>
  <si>
    <t>Average Player Salary</t>
  </si>
  <si>
    <t>League Average Salary</t>
  </si>
  <si>
    <t>Highest Paid Players:</t>
  </si>
  <si>
    <t>Current Financial Overview</t>
  </si>
  <si>
    <t>Attendance</t>
  </si>
  <si>
    <t>Attendance per Game</t>
  </si>
  <si>
    <t>Gate Revenue</t>
  </si>
  <si>
    <t>Playoff Revenue</t>
  </si>
  <si>
    <t>Media Revenue</t>
  </si>
  <si>
    <t>Merchandising Revenue</t>
  </si>
  <si>
    <t>Revenue Sharing</t>
  </si>
  <si>
    <t>CASH</t>
  </si>
  <si>
    <t>Player Expenses</t>
  </si>
  <si>
    <t>Staff Expenses</t>
  </si>
  <si>
    <t>BALANCE</t>
  </si>
  <si>
    <t>Last Season Overview</t>
  </si>
  <si>
    <t>Wins</t>
  </si>
  <si>
    <t>Losses</t>
  </si>
  <si>
    <t>Pct</t>
  </si>
  <si>
    <t>Home Wins</t>
  </si>
  <si>
    <t>Home Losses</t>
  </si>
  <si>
    <t>Home Pct</t>
  </si>
  <si>
    <t>Away Wins</t>
  </si>
  <si>
    <t>Away Losses</t>
  </si>
  <si>
    <t>Away Pct</t>
  </si>
  <si>
    <t>Remaining Games</t>
  </si>
  <si>
    <t>Remaining Home Games</t>
  </si>
  <si>
    <t>Remaining Away Games</t>
  </si>
  <si>
    <t>Projected</t>
  </si>
  <si>
    <t>Héctor Martínez</t>
  </si>
  <si>
    <t>Dan Simon</t>
  </si>
  <si>
    <t>Budget</t>
  </si>
  <si>
    <t>Budget Space</t>
  </si>
  <si>
    <t>Stm</t>
  </si>
  <si>
    <t>Suketsune Agano</t>
  </si>
  <si>
    <t>CLvl</t>
  </si>
  <si>
    <t>Avg Ticket Income</t>
  </si>
  <si>
    <t>Est. Attendance</t>
  </si>
  <si>
    <t>Proj. Gate Rev</t>
  </si>
  <si>
    <t>Merch Per Att.</t>
  </si>
  <si>
    <t>Proj. Merch</t>
  </si>
  <si>
    <t>Proj. Rev.</t>
  </si>
  <si>
    <t>Home GR</t>
  </si>
  <si>
    <t>+/- Improvement</t>
  </si>
  <si>
    <t>Sun-dong Kim</t>
  </si>
  <si>
    <t>Extension Calculator</t>
  </si>
  <si>
    <t>$/Yr</t>
  </si>
  <si>
    <t>eAge</t>
  </si>
  <si>
    <t>Lev</t>
  </si>
  <si>
    <t>OF ARM</t>
  </si>
  <si>
    <t>C ARM</t>
  </si>
  <si>
    <t>S A</t>
  </si>
  <si>
    <t>José Maldonado</t>
  </si>
  <si>
    <t>José Solís*~</t>
  </si>
  <si>
    <t>Samuel Kettley*~</t>
  </si>
  <si>
    <t>Carlos Rivera*~</t>
  </si>
  <si>
    <t>Ronald Lowry*~</t>
  </si>
  <si>
    <t>A S</t>
  </si>
  <si>
    <t>Est. Player Exp</t>
  </si>
  <si>
    <t>Est. Staff Exp</t>
  </si>
  <si>
    <t>Est. Income</t>
  </si>
  <si>
    <t>Est. Loss</t>
  </si>
  <si>
    <t>Est. Profit</t>
  </si>
  <si>
    <t>Record Needed for X Wins</t>
  </si>
  <si>
    <t>Updated</t>
  </si>
  <si>
    <t>Need Pct</t>
  </si>
  <si>
    <t>Final Pct</t>
  </si>
  <si>
    <t>Resulting Wins</t>
  </si>
  <si>
    <t>If We Played</t>
  </si>
  <si>
    <t>Change</t>
  </si>
  <si>
    <t>Raw</t>
  </si>
  <si>
    <t>Luis Gusmán</t>
  </si>
  <si>
    <t>Top Under 26</t>
  </si>
  <si>
    <t>Pat Nash</t>
  </si>
  <si>
    <t>Tom Thomas</t>
  </si>
  <si>
    <t>Moon-suk Chang</t>
  </si>
  <si>
    <t>Manny Villarreal</t>
  </si>
  <si>
    <t>Neutral</t>
  </si>
  <si>
    <t>Rem W-L</t>
  </si>
  <si>
    <t>Est. Budget Diff</t>
  </si>
  <si>
    <t>Power hitting 1B/DH</t>
  </si>
  <si>
    <t>Strong CF</t>
  </si>
  <si>
    <t>Lefty RP</t>
  </si>
  <si>
    <t>Ace SP</t>
  </si>
  <si>
    <t>High Draft Picks</t>
  </si>
  <si>
    <t>2015 Shopping List</t>
  </si>
  <si>
    <t>Rng/Arm</t>
  </si>
  <si>
    <t>Current Starters (Con&gt;6, Pow+Eye+DefDiff&gt;12)</t>
  </si>
  <si>
    <t>Current Backups (Con&gt;5, Pow+Eye+DefDiff&gt;8)</t>
  </si>
  <si>
    <t>Potential Starters (Con&gt;6, Pow+Eye+DefDiff&gt;12)</t>
  </si>
  <si>
    <t>Potential Backups (Con&gt;5, Pow+Eye+DefDiff&gt;8)</t>
  </si>
  <si>
    <t>Current Starters (Stuff+Mvmt+Con&gt;18)</t>
  </si>
  <si>
    <t>Sta Req</t>
  </si>
  <si>
    <t>Rng&gt;4</t>
  </si>
  <si>
    <t>S+M+C</t>
  </si>
  <si>
    <t>pS+M+C</t>
  </si>
  <si>
    <t>Potential Starters (Stuff+Mvmt+Con&gt;18)</t>
  </si>
  <si>
    <t>Current Backups (Stuff+Mvmt+Con&gt;15)</t>
  </si>
  <si>
    <t>Potential Backups (Stuff+Mvmt+Con&gt;15)</t>
  </si>
  <si>
    <t>C rat/pot</t>
  </si>
  <si>
    <t>G rat/pot</t>
  </si>
  <si>
    <t>P rat-pot</t>
  </si>
  <si>
    <t>E rat/pot</t>
  </si>
  <si>
    <t>K rat/pot</t>
  </si>
  <si>
    <t>Diff</t>
  </si>
  <si>
    <t>S rat/pot</t>
  </si>
  <si>
    <t>M rat/pot</t>
  </si>
  <si>
    <t>PC</t>
  </si>
  <si>
    <t>PSP</t>
  </si>
  <si>
    <t>NH</t>
  </si>
  <si>
    <t>CRG</t>
  </si>
  <si>
    <t>Jorge De La Cruz</t>
  </si>
  <si>
    <t>Tm</t>
  </si>
  <si>
    <t>Orlando Gonzáles</t>
  </si>
  <si>
    <t>pCPE</t>
  </si>
  <si>
    <t>pCP</t>
  </si>
  <si>
    <t>pCE</t>
  </si>
  <si>
    <t>Jimmy Lord*~</t>
  </si>
  <si>
    <t>% Home Games Played</t>
  </si>
  <si>
    <t>John Martin</t>
  </si>
  <si>
    <t>Adrián Lozano</t>
  </si>
  <si>
    <t>Warren Draper</t>
  </si>
  <si>
    <t>Roberto Cisneros</t>
  </si>
  <si>
    <t>Brandon Childers</t>
  </si>
  <si>
    <t>Pedro Santiago</t>
  </si>
  <si>
    <t>Eric Jacobs</t>
  </si>
  <si>
    <t>Clyde Braun</t>
  </si>
  <si>
    <t>Joey Robinson</t>
  </si>
  <si>
    <t>Roger Quinn</t>
  </si>
  <si>
    <t>Eric Mollenhauer</t>
  </si>
  <si>
    <t>Derek Pruitt</t>
  </si>
  <si>
    <t>Gerardo Chapa</t>
  </si>
  <si>
    <t>José Escobar</t>
  </si>
  <si>
    <t>Reese Wilson</t>
  </si>
  <si>
    <t>Rafael García</t>
  </si>
  <si>
    <t>Adam Bishop</t>
  </si>
  <si>
    <t>César Collazo</t>
  </si>
  <si>
    <t>Rafael Quintero</t>
  </si>
  <si>
    <t>Juan Meléndez</t>
  </si>
  <si>
    <t>Cash Remaining</t>
  </si>
  <si>
    <t>Stan Thornton</t>
  </si>
  <si>
    <t>Jorge García</t>
  </si>
  <si>
    <t>Pancho Silva</t>
  </si>
  <si>
    <t>99-101 Mph</t>
  </si>
  <si>
    <t>Robert Ayers</t>
  </si>
  <si>
    <t>José Aguilar</t>
  </si>
  <si>
    <t>Jason Rose</t>
  </si>
  <si>
    <t>Resulting Player Payroll</t>
  </si>
  <si>
    <t>Committed Payroll</t>
  </si>
  <si>
    <t>Russell Wright</t>
  </si>
  <si>
    <t>Randolph Teague</t>
  </si>
  <si>
    <t>Off the Books</t>
  </si>
  <si>
    <t>Mike Pugh</t>
  </si>
  <si>
    <t>Mike Pugh*~</t>
  </si>
  <si>
    <t>John Pratt</t>
  </si>
  <si>
    <t>82-84 Mph</t>
  </si>
  <si>
    <t>Jesús Rangel</t>
  </si>
  <si>
    <t>Diego Rúbio</t>
  </si>
  <si>
    <t>Keith Hart</t>
  </si>
  <si>
    <t>António Gallardo</t>
  </si>
  <si>
    <t>Spencer McGrath</t>
  </si>
  <si>
    <t>Denny Wolf</t>
  </si>
  <si>
    <t>Bruno Reed</t>
  </si>
  <si>
    <t>Sean Edwards</t>
  </si>
  <si>
    <t>Allen Baden</t>
  </si>
  <si>
    <t>Francisco Martínez</t>
  </si>
  <si>
    <t>Conrad Shelton*~</t>
  </si>
  <si>
    <t>Net Totals</t>
  </si>
  <si>
    <t>Truman Burke</t>
  </si>
  <si>
    <t>Monte Marsh</t>
  </si>
  <si>
    <t>Eddie Baker</t>
  </si>
  <si>
    <t>Eddie Gunn</t>
  </si>
  <si>
    <t>Luis Gusmán*~</t>
  </si>
  <si>
    <t>Randolph Teague*~</t>
  </si>
  <si>
    <t>Guaranteed</t>
  </si>
  <si>
    <t>Albert Bush</t>
  </si>
  <si>
    <t>John Becker</t>
  </si>
  <si>
    <t>Juan Trinidad</t>
  </si>
  <si>
    <t>José Aranda</t>
  </si>
  <si>
    <t>Eddy Montgomery</t>
  </si>
  <si>
    <t>98-100 Mph</t>
  </si>
  <si>
    <t>Gary Norwood</t>
  </si>
  <si>
    <t>Lorenzo Portillo</t>
  </si>
  <si>
    <t>Tokimune Yamamoto</t>
  </si>
  <si>
    <t>Greg Smith</t>
  </si>
  <si>
    <t>Joe Ray</t>
  </si>
  <si>
    <t>Mike Harris</t>
  </si>
  <si>
    <t>Gabriel López</t>
  </si>
  <si>
    <t>Est Arr</t>
  </si>
  <si>
    <t>Ray Gilbert</t>
  </si>
  <si>
    <t>Joe Kennedy</t>
  </si>
  <si>
    <t>Flynn Scott</t>
  </si>
  <si>
    <t>José Alonso</t>
  </si>
  <si>
    <t>Jaime Cabrera</t>
  </si>
  <si>
    <t>Emílio López</t>
  </si>
  <si>
    <t>Yovhannes Pahlevanian</t>
  </si>
  <si>
    <t>Jesús Santos</t>
  </si>
  <si>
    <t>Juan Trinidad*~</t>
  </si>
  <si>
    <t>Will Young*~</t>
  </si>
  <si>
    <t>Starting Base</t>
  </si>
  <si>
    <t>John Martin*~</t>
  </si>
  <si>
    <t>Slot Priority</t>
  </si>
  <si>
    <t>High OBP, Low SLG</t>
  </si>
  <si>
    <t>Best All Around Hitter</t>
  </si>
  <si>
    <t>Next best hitter OBP, GAP</t>
  </si>
  <si>
    <t>Best hitter with HR power</t>
  </si>
  <si>
    <t>Best hitter after other 4</t>
  </si>
  <si>
    <t>Worst Hitter</t>
  </si>
  <si>
    <t>Next best hitter with SB</t>
  </si>
  <si>
    <t>Next best hitter</t>
  </si>
  <si>
    <t>2nd Worst Hitter</t>
  </si>
  <si>
    <t>Alonso Méndez*~</t>
  </si>
  <si>
    <t>Martin Smith*~</t>
  </si>
  <si>
    <t>0 yrs, 116 days</t>
  </si>
  <si>
    <t>0 yrs, 138 days</t>
  </si>
  <si>
    <t>Dave Wells*~</t>
  </si>
  <si>
    <t>Alberto Flores*~</t>
  </si>
  <si>
    <t>1 yrs, 98 days</t>
  </si>
  <si>
    <t>En-Guo Guao</t>
  </si>
  <si>
    <t>En-guo Guao*~</t>
  </si>
  <si>
    <t>John Howe</t>
  </si>
  <si>
    <t>En-guo Guao</t>
  </si>
  <si>
    <t>Glen Ganey</t>
  </si>
  <si>
    <t>Pepe Ríos</t>
  </si>
  <si>
    <t>Lyle Smith</t>
  </si>
  <si>
    <t>Salvador González</t>
  </si>
  <si>
    <t>Mark Lord</t>
  </si>
  <si>
    <t>Stan Scott</t>
  </si>
  <si>
    <t>Wayne McConnell</t>
  </si>
  <si>
    <t>Joe Benton</t>
  </si>
  <si>
    <t>Hugh Meredith</t>
  </si>
  <si>
    <t>Keith Watson</t>
  </si>
  <si>
    <t>Matt Nielsen</t>
  </si>
  <si>
    <t>Ben Truscott</t>
  </si>
  <si>
    <t>David Sánchez</t>
  </si>
  <si>
    <t>Michael Singleton</t>
  </si>
  <si>
    <t>Juan Álvarez</t>
  </si>
  <si>
    <t>Larry Chaney</t>
  </si>
  <si>
    <t>Clark Snow</t>
  </si>
  <si>
    <t>Greg Lange</t>
  </si>
  <si>
    <t>Dave Williams</t>
  </si>
  <si>
    <t>Starting Pitching</t>
  </si>
  <si>
    <t>Thirdbase</t>
  </si>
  <si>
    <t>2018 Shopping List</t>
  </si>
  <si>
    <t>Arrival</t>
  </si>
  <si>
    <t>Alberto Mendoza</t>
  </si>
  <si>
    <t>vs. RHP</t>
  </si>
  <si>
    <t>vs. LHP</t>
  </si>
  <si>
    <t>Nathan O'Reilly</t>
  </si>
  <si>
    <t>Luis Hernández</t>
  </si>
  <si>
    <t>Niccolo Arcimboldo</t>
  </si>
  <si>
    <t>C-b</t>
  </si>
  <si>
    <t>John Martin, Ray Gilbert</t>
  </si>
  <si>
    <t>Rivera, Arcimboldo</t>
  </si>
  <si>
    <t>Mays, Young</t>
  </si>
  <si>
    <t>Gusman, Teague</t>
  </si>
  <si>
    <t>Trinidad</t>
  </si>
  <si>
    <t>Shelton, O'Reilly</t>
  </si>
  <si>
    <t>Soto, Rubio, Becker</t>
  </si>
  <si>
    <t>Gunn, Bryant</t>
  </si>
  <si>
    <t>Martinez</t>
  </si>
  <si>
    <t>Marte, Nielson, Burke, Ramirez</t>
  </si>
  <si>
    <t>Watson</t>
  </si>
  <si>
    <t>Soto, Aguilar, Sanchez, Hart</t>
  </si>
  <si>
    <t>Montgomery</t>
  </si>
  <si>
    <t>Gonzales</t>
  </si>
  <si>
    <t>Gunn, Bryant, Villareal, Singleton, Nash, Chang</t>
  </si>
  <si>
    <t>Burke, Ramirez</t>
  </si>
  <si>
    <t>Portillo</t>
  </si>
  <si>
    <t>Mays, Young, Watson</t>
  </si>
  <si>
    <t>Marsh, Nielsen</t>
  </si>
  <si>
    <t>Rivera, Arcimboldo, Martinez</t>
  </si>
  <si>
    <t>Gusman, Rubio, Becker</t>
  </si>
  <si>
    <t>Ron Knox</t>
  </si>
  <si>
    <t>Alfonso Caro</t>
  </si>
  <si>
    <t>Sakutaro Honma</t>
  </si>
  <si>
    <t>OF-b</t>
  </si>
  <si>
    <t>Pedro Álvarez</t>
  </si>
  <si>
    <t>Tze-meng Hsieh</t>
  </si>
  <si>
    <t>Jack Bell</t>
  </si>
  <si>
    <t>Miguel Canó</t>
  </si>
  <si>
    <t>Peter Clark</t>
  </si>
  <si>
    <t>3 yrs, 159 days</t>
  </si>
  <si>
    <t>Diego Rúbio*~</t>
  </si>
  <si>
    <t>2 yrs, 1 days</t>
  </si>
  <si>
    <t>Donald Mays~</t>
  </si>
  <si>
    <t>Niccolo Arcimboldo*~</t>
  </si>
  <si>
    <t>1 yrs, 1 days</t>
  </si>
  <si>
    <t>Mike Stephens~</t>
  </si>
  <si>
    <t>Nathan O'Reilly*~</t>
  </si>
  <si>
    <t>Larry Cox</t>
  </si>
  <si>
    <t>Raúl Peña</t>
  </si>
  <si>
    <t>Dan Stewart</t>
  </si>
  <si>
    <t>Kenneth Bridges</t>
  </si>
  <si>
    <t>Ching-hsia Chin</t>
  </si>
  <si>
    <t>James Foxworth</t>
  </si>
  <si>
    <t>Kien-lung Hsiao</t>
  </si>
  <si>
    <t>Pedro Cruz</t>
  </si>
  <si>
    <t>86-88 Mph</t>
  </si>
  <si>
    <t>Júlio Montoya</t>
  </si>
  <si>
    <t>Alonso Méndez~</t>
  </si>
  <si>
    <t>Alberto Mendoza*~</t>
  </si>
  <si>
    <t>Luis Hernández*~</t>
  </si>
  <si>
    <t>José Aranda~</t>
  </si>
  <si>
    <t>John Becker~</t>
  </si>
  <si>
    <t>Gerardo Soto*~</t>
  </si>
  <si>
    <t>IF-b</t>
  </si>
  <si>
    <t>Yura Kajgaliev</t>
  </si>
  <si>
    <t>DL</t>
  </si>
  <si>
    <t>Donald Watkins</t>
  </si>
  <si>
    <t>Roberto Montaño</t>
  </si>
  <si>
    <t>Scouting Budget</t>
  </si>
  <si>
    <t>Draft Budget</t>
  </si>
  <si>
    <t>Ray Gilbert*~</t>
  </si>
  <si>
    <t>2 yrs, 54 days</t>
  </si>
  <si>
    <t>0 yrs, 55 days</t>
  </si>
  <si>
    <t>Ricardo Longoria</t>
  </si>
  <si>
    <t>Héctor Bruno</t>
  </si>
  <si>
    <t>Cedric King</t>
  </si>
  <si>
    <t>Domingo Rojas</t>
  </si>
  <si>
    <t>Brad Wyman</t>
  </si>
  <si>
    <t>dump</t>
  </si>
  <si>
    <t>David Gutiérrez</t>
  </si>
  <si>
    <t> 1) Ricardo Longoria</t>
  </si>
  <si>
    <t> 2) En-guo Guao</t>
  </si>
  <si>
    <t> 3) Ronald Lowry</t>
  </si>
  <si>
    <t> 4) Carlos Rivera</t>
  </si>
  <si>
    <t> 5) Samuel Kettley</t>
  </si>
  <si>
    <t>Ricardo Longoria*~</t>
  </si>
  <si>
    <t>6 yrs, 24 days</t>
  </si>
  <si>
    <t>5 yrs, 109 days</t>
  </si>
  <si>
    <t>6 yrs, 170 days</t>
  </si>
  <si>
    <t>4 yrs, 67 days</t>
  </si>
  <si>
    <t>6 yrs, 67 days</t>
  </si>
  <si>
    <t>David Gutiérrez*~</t>
  </si>
  <si>
    <t>3 yrs, 39 days</t>
  </si>
  <si>
    <t>5 yrs, 67 days</t>
  </si>
  <si>
    <t>0 yrs, 67 days</t>
  </si>
  <si>
    <t>Russell Wright*~</t>
  </si>
  <si>
    <t>2 yrs, 75 days</t>
  </si>
  <si>
    <t>0 yrs, 170 days</t>
  </si>
  <si>
    <t>2 yrs, 67 days</t>
  </si>
  <si>
    <t>Jesús Santos~</t>
  </si>
  <si>
    <t>1 yrs, 146 days</t>
  </si>
  <si>
    <t>1 yrs, 67 days</t>
  </si>
  <si>
    <t>Jim Griffin~</t>
  </si>
  <si>
    <t>0 yrs, 158 days</t>
  </si>
  <si>
    <t>Hugh Watson~</t>
  </si>
  <si>
    <t>0 yrs, 60 days</t>
  </si>
  <si>
    <t>0 yrs, 159 days</t>
  </si>
  <si>
    <t>2 yrs, 7 days</t>
  </si>
  <si>
    <t>3 yrs, 14 days</t>
  </si>
  <si>
    <t>3 yrs, 28 days</t>
  </si>
  <si>
    <t>1 yrs, 18 days</t>
  </si>
  <si>
    <t>John Klinger</t>
  </si>
  <si>
    <t>Sherwood Alldritt</t>
  </si>
  <si>
    <t>Stan Phillips</t>
  </si>
  <si>
    <t>Pablo Padilla</t>
  </si>
  <si>
    <t>George Thomas</t>
  </si>
  <si>
    <t>Jesús López</t>
  </si>
  <si>
    <t>Bartolo Esquivel</t>
  </si>
  <si>
    <t>Dan Boorman</t>
  </si>
  <si>
    <t>Thad Taylor</t>
  </si>
  <si>
    <t>Chris Longworth</t>
  </si>
  <si>
    <t>Rick Saunders</t>
  </si>
  <si>
    <t>Daniel Quillen</t>
  </si>
  <si>
    <t>Ted Sepkiechler</t>
  </si>
  <si>
    <t>Álex Ramos</t>
  </si>
  <si>
    <t>80-83 Mph</t>
  </si>
  <si>
    <t>Drop</t>
  </si>
  <si>
    <t>Ignore</t>
  </si>
  <si>
    <t>Rat Score</t>
  </si>
  <si>
    <t>Up</t>
  </si>
  <si>
    <t>Dn</t>
  </si>
  <si>
    <t>Batter:</t>
  </si>
  <si>
    <t>Pitcher: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</si>
</sst>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0.000"/>
    <numFmt numFmtId="167" formatCode="0.0%"/>
    <numFmt numFmtId="168" formatCode="_(* #,##0_);_(* \(#,##0\);_(* &quot;-&quot;??_);_(@_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rgb="FF02CC49"/>
      <name val="Verdana"/>
      <family val="2"/>
    </font>
    <font>
      <sz val="10"/>
      <color rgb="FF000000"/>
      <name val="Arial"/>
      <family val="2"/>
    </font>
    <font>
      <b/>
      <sz val="10"/>
      <color rgb="FF02CC49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3E3E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99999"/>
      </left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/>
      <top/>
      <bottom/>
      <diagonal/>
    </border>
    <border>
      <left/>
      <right style="medium">
        <color rgb="FF999999"/>
      </right>
      <top/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/>
      <top style="medium">
        <color rgb="FF999999"/>
      </top>
      <bottom/>
      <diagonal/>
    </border>
    <border>
      <left/>
      <right/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indexed="64"/>
      </top>
      <bottom/>
      <diagonal/>
    </border>
    <border>
      <left style="medium">
        <color rgb="FF999999"/>
      </left>
      <right style="medium">
        <color rgb="FF999999"/>
      </right>
      <top/>
      <bottom style="medium">
        <color indexed="64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2" fontId="0" fillId="0" borderId="0" xfId="0" applyNumberFormat="1"/>
    <xf numFmtId="1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6" fontId="0" fillId="0" borderId="0" xfId="0" applyNumberFormat="1"/>
    <xf numFmtId="9" fontId="0" fillId="0" borderId="1" xfId="0" applyNumberFormat="1" applyBorder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5" fillId="2" borderId="2" xfId="1" applyFill="1" applyBorder="1" applyAlignment="1" applyProtection="1">
      <alignment horizontal="left" wrapText="1"/>
    </xf>
    <xf numFmtId="0" fontId="3" fillId="2" borderId="2" xfId="0" applyFont="1" applyFill="1" applyBorder="1" applyAlignment="1">
      <alignment horizontal="right" wrapText="1"/>
    </xf>
    <xf numFmtId="6" fontId="3" fillId="2" borderId="2" xfId="0" applyNumberFormat="1" applyFont="1" applyFill="1" applyBorder="1" applyAlignment="1">
      <alignment horizontal="right" wrapText="1"/>
    </xf>
    <xf numFmtId="0" fontId="5" fillId="3" borderId="2" xfId="1" applyFill="1" applyBorder="1" applyAlignment="1" applyProtection="1">
      <alignment horizontal="left" wrapText="1"/>
    </xf>
    <xf numFmtId="0" fontId="3" fillId="3" borderId="2" xfId="0" applyFont="1" applyFill="1" applyBorder="1" applyAlignment="1">
      <alignment horizontal="right" wrapText="1"/>
    </xf>
    <xf numFmtId="6" fontId="3" fillId="3" borderId="2" xfId="0" applyNumberFormat="1" applyFont="1" applyFill="1" applyBorder="1" applyAlignment="1">
      <alignment horizontal="right" wrapText="1"/>
    </xf>
    <xf numFmtId="6" fontId="4" fillId="0" borderId="2" xfId="0" applyNumberFormat="1" applyFont="1" applyBorder="1" applyAlignment="1">
      <alignment horizontal="right" wrapText="1"/>
    </xf>
    <xf numFmtId="0" fontId="1" fillId="0" borderId="6" xfId="0" applyFont="1" applyBorder="1"/>
    <xf numFmtId="0" fontId="0" fillId="0" borderId="6" xfId="0" applyBorder="1"/>
    <xf numFmtId="6" fontId="0" fillId="0" borderId="6" xfId="0" applyNumberFormat="1" applyBorder="1"/>
    <xf numFmtId="0" fontId="1" fillId="0" borderId="0" xfId="0" applyFont="1" applyAlignment="1">
      <alignment textRotation="90"/>
    </xf>
    <xf numFmtId="0" fontId="1" fillId="0" borderId="0" xfId="0" applyFont="1" applyAlignment="1"/>
    <xf numFmtId="0" fontId="0" fillId="0" borderId="0" xfId="0" applyAlignment="1"/>
    <xf numFmtId="0" fontId="10" fillId="0" borderId="0" xfId="0" applyFont="1"/>
    <xf numFmtId="0" fontId="10" fillId="0" borderId="1" xfId="0" applyFont="1" applyBorder="1"/>
    <xf numFmtId="2" fontId="10" fillId="0" borderId="0" xfId="0" applyNumberFormat="1" applyFont="1"/>
    <xf numFmtId="2" fontId="10" fillId="0" borderId="0" xfId="0" applyNumberFormat="1" applyFont="1" applyBorder="1"/>
    <xf numFmtId="1" fontId="10" fillId="0" borderId="0" xfId="0" applyNumberFormat="1" applyFont="1"/>
    <xf numFmtId="0" fontId="1" fillId="0" borderId="8" xfId="0" applyFont="1" applyBorder="1"/>
    <xf numFmtId="0" fontId="0" fillId="0" borderId="9" xfId="0" applyBorder="1" applyAlignment="1"/>
    <xf numFmtId="0" fontId="0" fillId="0" borderId="9" xfId="0" applyBorder="1"/>
    <xf numFmtId="0" fontId="0" fillId="0" borderId="10" xfId="0" applyBorder="1" applyAlignment="1"/>
    <xf numFmtId="0" fontId="1" fillId="0" borderId="11" xfId="0" applyFont="1" applyBorder="1"/>
    <xf numFmtId="0" fontId="0" fillId="0" borderId="0" xfId="0" applyBorder="1" applyAlignment="1"/>
    <xf numFmtId="0" fontId="0" fillId="0" borderId="1" xfId="0" applyBorder="1" applyAlignment="1"/>
    <xf numFmtId="0" fontId="1" fillId="0" borderId="12" xfId="0" applyFont="1" applyBorder="1"/>
    <xf numFmtId="0" fontId="0" fillId="0" borderId="13" xfId="0" applyBorder="1" applyAlignment="1"/>
    <xf numFmtId="0" fontId="0" fillId="0" borderId="13" xfId="0" applyBorder="1"/>
    <xf numFmtId="0" fontId="0" fillId="0" borderId="14" xfId="0" applyBorder="1" applyAlignment="1"/>
    <xf numFmtId="0" fontId="1" fillId="0" borderId="15" xfId="0" applyFont="1" applyBorder="1"/>
    <xf numFmtId="0" fontId="1" fillId="0" borderId="6" xfId="0" applyFont="1" applyBorder="1" applyAlignment="1"/>
    <xf numFmtId="0" fontId="9" fillId="0" borderId="6" xfId="0" applyFont="1" applyBorder="1" applyAlignment="1">
      <alignment textRotation="90"/>
    </xf>
    <xf numFmtId="0" fontId="8" fillId="0" borderId="6" xfId="0" applyFont="1" applyBorder="1" applyAlignment="1">
      <alignment textRotation="90"/>
    </xf>
    <xf numFmtId="0" fontId="11" fillId="0" borderId="6" xfId="0" applyFont="1" applyBorder="1" applyAlignment="1">
      <alignment textRotation="90"/>
    </xf>
    <xf numFmtId="0" fontId="1" fillId="0" borderId="6" xfId="0" applyFont="1" applyBorder="1" applyAlignment="1">
      <alignment textRotation="90"/>
    </xf>
    <xf numFmtId="0" fontId="1" fillId="0" borderId="16" xfId="0" applyFont="1" applyBorder="1" applyAlignment="1">
      <alignment textRotation="90"/>
    </xf>
    <xf numFmtId="0" fontId="1" fillId="0" borderId="16" xfId="0" applyFont="1" applyBorder="1" applyAlignment="1"/>
    <xf numFmtId="0" fontId="9" fillId="0" borderId="15" xfId="0" applyFont="1" applyBorder="1" applyAlignment="1">
      <alignment textRotation="90"/>
    </xf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11" fillId="0" borderId="15" xfId="0" applyFont="1" applyBorder="1" applyAlignment="1">
      <alignment textRotation="90"/>
    </xf>
    <xf numFmtId="0" fontId="11" fillId="0" borderId="16" xfId="0" applyFont="1" applyBorder="1" applyAlignment="1">
      <alignment textRotation="90"/>
    </xf>
    <xf numFmtId="0" fontId="0" fillId="0" borderId="8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9" fillId="0" borderId="16" xfId="0" applyFont="1" applyBorder="1" applyAlignment="1">
      <alignment textRotation="90"/>
    </xf>
    <xf numFmtId="0" fontId="0" fillId="0" borderId="10" xfId="0" applyBorder="1"/>
    <xf numFmtId="0" fontId="0" fillId="0" borderId="14" xfId="0" applyBorder="1"/>
    <xf numFmtId="0" fontId="1" fillId="0" borderId="15" xfId="0" applyFont="1" applyBorder="1" applyAlignment="1">
      <alignment textRotation="90"/>
    </xf>
    <xf numFmtId="0" fontId="8" fillId="0" borderId="15" xfId="0" applyFont="1" applyBorder="1" applyAlignment="1">
      <alignment textRotation="90"/>
    </xf>
    <xf numFmtId="0" fontId="0" fillId="0" borderId="0" xfId="0" applyFill="1" applyBorder="1" applyAlignment="1"/>
    <xf numFmtId="0" fontId="1" fillId="0" borderId="7" xfId="0" applyFont="1" applyBorder="1" applyAlignment="1">
      <alignment textRotation="90"/>
    </xf>
    <xf numFmtId="2" fontId="0" fillId="0" borderId="17" xfId="0" applyNumberFormat="1" applyBorder="1"/>
    <xf numFmtId="2" fontId="0" fillId="0" borderId="18" xfId="0" applyNumberFormat="1" applyBorder="1"/>
    <xf numFmtId="2" fontId="0" fillId="0" borderId="14" xfId="0" applyNumberFormat="1" applyBorder="1"/>
    <xf numFmtId="0" fontId="1" fillId="0" borderId="16" xfId="0" applyFont="1" applyBorder="1"/>
    <xf numFmtId="0" fontId="10" fillId="0" borderId="11" xfId="0" applyFont="1" applyBorder="1"/>
    <xf numFmtId="0" fontId="10" fillId="0" borderId="0" xfId="0" applyFont="1" applyBorder="1"/>
    <xf numFmtId="0" fontId="1" fillId="0" borderId="0" xfId="0" applyFont="1" applyBorder="1" applyAlignment="1"/>
    <xf numFmtId="0" fontId="11" fillId="0" borderId="6" xfId="0" applyFont="1" applyFill="1" applyBorder="1" applyAlignment="1">
      <alignment textRotation="90"/>
    </xf>
    <xf numFmtId="0" fontId="11" fillId="0" borderId="16" xfId="0" applyFont="1" applyFill="1" applyBorder="1" applyAlignment="1">
      <alignment textRotation="90"/>
    </xf>
    <xf numFmtId="0" fontId="11" fillId="0" borderId="7" xfId="0" applyFont="1" applyBorder="1" applyAlignment="1">
      <alignment textRotation="90"/>
    </xf>
    <xf numFmtId="0" fontId="0" fillId="0" borderId="17" xfId="0" applyBorder="1"/>
    <xf numFmtId="0" fontId="0" fillId="0" borderId="18" xfId="0" applyBorder="1"/>
    <xf numFmtId="0" fontId="11" fillId="0" borderId="15" xfId="0" applyFont="1" applyFill="1" applyBorder="1" applyAlignment="1">
      <alignment textRotation="90"/>
    </xf>
    <xf numFmtId="9" fontId="0" fillId="0" borderId="1" xfId="3" applyFont="1" applyBorder="1"/>
    <xf numFmtId="9" fontId="0" fillId="0" borderId="14" xfId="3" applyFont="1" applyBorder="1"/>
    <xf numFmtId="9" fontId="10" fillId="0" borderId="1" xfId="0" applyNumberFormat="1" applyFont="1" applyBorder="1"/>
    <xf numFmtId="164" fontId="0" fillId="0" borderId="0" xfId="0" applyNumberFormat="1" applyBorder="1"/>
    <xf numFmtId="1" fontId="0" fillId="0" borderId="0" xfId="0" applyNumberFormat="1" applyBorder="1"/>
    <xf numFmtId="165" fontId="0" fillId="0" borderId="0" xfId="2" applyNumberFormat="1" applyFont="1"/>
    <xf numFmtId="165" fontId="10" fillId="0" borderId="0" xfId="2" applyNumberFormat="1" applyFont="1"/>
    <xf numFmtId="0" fontId="1" fillId="0" borderId="7" xfId="0" applyFont="1" applyBorder="1"/>
    <xf numFmtId="0" fontId="1" fillId="5" borderId="7" xfId="0" applyFont="1" applyFill="1" applyBorder="1"/>
    <xf numFmtId="0" fontId="0" fillId="5" borderId="17" xfId="0" applyFill="1" applyBorder="1"/>
    <xf numFmtId="0" fontId="0" fillId="5" borderId="18" xfId="0" applyFill="1" applyBorder="1"/>
    <xf numFmtId="0" fontId="0" fillId="0" borderId="0" xfId="0" applyFill="1"/>
    <xf numFmtId="165" fontId="0" fillId="0" borderId="0" xfId="2" applyNumberFormat="1" applyFont="1" applyFill="1"/>
    <xf numFmtId="2" fontId="0" fillId="0" borderId="0" xfId="0" applyNumberFormat="1" applyFill="1"/>
    <xf numFmtId="2" fontId="0" fillId="0" borderId="0" xfId="0" applyNumberFormat="1" applyFill="1" applyBorder="1"/>
    <xf numFmtId="0" fontId="0" fillId="0" borderId="11" xfId="0" applyFill="1" applyBorder="1"/>
    <xf numFmtId="0" fontId="0" fillId="0" borderId="0" xfId="0" applyFill="1" applyBorder="1"/>
    <xf numFmtId="1" fontId="0" fillId="0" borderId="0" xfId="0" applyNumberFormat="1" applyFill="1"/>
    <xf numFmtId="9" fontId="0" fillId="0" borderId="0" xfId="3" applyFont="1"/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7" fillId="0" borderId="0" xfId="0" applyFont="1" applyFill="1"/>
    <xf numFmtId="0" fontId="1" fillId="0" borderId="0" xfId="0" applyFont="1" applyFill="1" applyBorder="1"/>
    <xf numFmtId="0" fontId="10" fillId="0" borderId="0" xfId="0" applyFont="1" applyFill="1"/>
    <xf numFmtId="9" fontId="0" fillId="0" borderId="0" xfId="3" applyFont="1" applyAlignment="1">
      <alignment horizontal="left"/>
    </xf>
    <xf numFmtId="1" fontId="10" fillId="0" borderId="0" xfId="0" applyNumberFormat="1" applyFont="1" applyBorder="1"/>
    <xf numFmtId="164" fontId="10" fillId="0" borderId="0" xfId="0" applyNumberFormat="1" applyFont="1" applyBorder="1"/>
    <xf numFmtId="0" fontId="10" fillId="0" borderId="0" xfId="0" applyFont="1" applyFill="1" applyBorder="1"/>
    <xf numFmtId="0" fontId="0" fillId="0" borderId="0" xfId="0" applyFont="1"/>
    <xf numFmtId="165" fontId="0" fillId="0" borderId="0" xfId="0" applyNumberFormat="1"/>
    <xf numFmtId="6" fontId="0" fillId="0" borderId="6" xfId="0" applyNumberFormat="1" applyFont="1" applyBorder="1"/>
    <xf numFmtId="0" fontId="11" fillId="0" borderId="0" xfId="0" applyFont="1" applyFill="1" applyBorder="1"/>
    <xf numFmtId="9" fontId="0" fillId="0" borderId="0" xfId="3" applyFont="1" applyBorder="1" applyAlignment="1">
      <alignment horizontal="left"/>
    </xf>
    <xf numFmtId="9" fontId="0" fillId="0" borderId="0" xfId="3" applyFont="1" applyBorder="1"/>
    <xf numFmtId="0" fontId="0" fillId="0" borderId="8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1" fillId="0" borderId="0" xfId="0" applyFont="1"/>
    <xf numFmtId="0" fontId="11" fillId="0" borderId="0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horizontal="left" wrapText="1"/>
    </xf>
    <xf numFmtId="6" fontId="3" fillId="4" borderId="23" xfId="0" applyNumberFormat="1" applyFont="1" applyFill="1" applyBorder="1" applyAlignment="1">
      <alignment horizontal="right" wrapText="1"/>
    </xf>
    <xf numFmtId="6" fontId="3" fillId="2" borderId="23" xfId="0" applyNumberFormat="1" applyFont="1" applyFill="1" applyBorder="1" applyAlignment="1">
      <alignment horizontal="right" wrapText="1"/>
    </xf>
    <xf numFmtId="0" fontId="3" fillId="4" borderId="23" xfId="0" applyFont="1" applyFill="1" applyBorder="1" applyAlignment="1">
      <alignment horizontal="right" wrapText="1"/>
    </xf>
    <xf numFmtId="3" fontId="3" fillId="4" borderId="23" xfId="0" applyNumberFormat="1" applyFont="1" applyFill="1" applyBorder="1" applyAlignment="1">
      <alignment horizontal="right" wrapText="1"/>
    </xf>
    <xf numFmtId="3" fontId="3" fillId="2" borderId="23" xfId="0" applyNumberFormat="1" applyFont="1" applyFill="1" applyBorder="1" applyAlignment="1">
      <alignment horizontal="right" wrapText="1"/>
    </xf>
    <xf numFmtId="6" fontId="13" fillId="4" borderId="23" xfId="0" applyNumberFormat="1" applyFont="1" applyFill="1" applyBorder="1" applyAlignment="1">
      <alignment horizontal="right" wrapText="1"/>
    </xf>
    <xf numFmtId="0" fontId="3" fillId="2" borderId="24" xfId="0" applyFont="1" applyFill="1" applyBorder="1" applyAlignment="1">
      <alignment horizontal="left" wrapText="1"/>
    </xf>
    <xf numFmtId="6" fontId="13" fillId="2" borderId="25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" fillId="4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quotePrefix="1" applyFont="1" applyFill="1" applyBorder="1" applyAlignment="1">
      <alignment horizontal="left" wrapText="1"/>
    </xf>
    <xf numFmtId="0" fontId="0" fillId="0" borderId="26" xfId="0" applyBorder="1"/>
    <xf numFmtId="0" fontId="0" fillId="0" borderId="27" xfId="0" applyBorder="1"/>
    <xf numFmtId="166" fontId="0" fillId="0" borderId="27" xfId="0" applyNumberFormat="1" applyBorder="1"/>
    <xf numFmtId="0" fontId="0" fillId="0" borderId="22" xfId="0" applyBorder="1"/>
    <xf numFmtId="0" fontId="3" fillId="4" borderId="20" xfId="0" applyFont="1" applyFill="1" applyBorder="1" applyAlignment="1">
      <alignment horizontal="left" wrapText="1"/>
    </xf>
    <xf numFmtId="166" fontId="0" fillId="0" borderId="0" xfId="0" applyNumberFormat="1"/>
    <xf numFmtId="14" fontId="0" fillId="0" borderId="0" xfId="0" applyNumberFormat="1"/>
    <xf numFmtId="0" fontId="12" fillId="6" borderId="20" xfId="0" applyFont="1" applyFill="1" applyBorder="1" applyAlignment="1">
      <alignment wrapText="1"/>
    </xf>
    <xf numFmtId="0" fontId="12" fillId="6" borderId="0" xfId="0" applyFont="1" applyFill="1" applyBorder="1" applyAlignment="1">
      <alignment wrapText="1"/>
    </xf>
    <xf numFmtId="3" fontId="3" fillId="4" borderId="0" xfId="0" applyNumberFormat="1" applyFont="1" applyFill="1" applyBorder="1" applyAlignment="1">
      <alignment horizontal="right" wrapText="1"/>
    </xf>
    <xf numFmtId="3" fontId="3" fillId="2" borderId="0" xfId="0" applyNumberFormat="1" applyFont="1" applyFill="1" applyBorder="1" applyAlignment="1">
      <alignment horizontal="right" wrapText="1"/>
    </xf>
    <xf numFmtId="0" fontId="3" fillId="4" borderId="0" xfId="0" applyFont="1" applyFill="1" applyBorder="1" applyAlignment="1">
      <alignment horizontal="right" wrapText="1"/>
    </xf>
    <xf numFmtId="6" fontId="3" fillId="2" borderId="0" xfId="0" applyNumberFormat="1" applyFont="1" applyFill="1" applyBorder="1" applyAlignment="1">
      <alignment horizontal="right" wrapText="1"/>
    </xf>
    <xf numFmtId="6" fontId="3" fillId="4" borderId="0" xfId="0" applyNumberFormat="1" applyFont="1" applyFill="1" applyBorder="1" applyAlignment="1">
      <alignment horizontal="right" wrapText="1"/>
    </xf>
    <xf numFmtId="6" fontId="13" fillId="4" borderId="0" xfId="0" applyNumberFormat="1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6" fontId="13" fillId="2" borderId="30" xfId="0" applyNumberFormat="1" applyFont="1" applyFill="1" applyBorder="1" applyAlignment="1">
      <alignment horizontal="right" wrapText="1"/>
    </xf>
    <xf numFmtId="167" fontId="3" fillId="4" borderId="23" xfId="3" applyNumberFormat="1" applyFont="1" applyFill="1" applyBorder="1" applyAlignment="1">
      <alignment horizontal="right" wrapText="1"/>
    </xf>
    <xf numFmtId="167" fontId="3" fillId="2" borderId="23" xfId="3" applyNumberFormat="1" applyFont="1" applyFill="1" applyBorder="1" applyAlignment="1">
      <alignment horizontal="right" wrapText="1"/>
    </xf>
    <xf numFmtId="167" fontId="13" fillId="4" borderId="23" xfId="3" applyNumberFormat="1" applyFont="1" applyFill="1" applyBorder="1" applyAlignment="1">
      <alignment horizontal="right" wrapText="1"/>
    </xf>
    <xf numFmtId="167" fontId="13" fillId="2" borderId="25" xfId="3" applyNumberFormat="1" applyFont="1" applyFill="1" applyBorder="1" applyAlignment="1">
      <alignment horizontal="right" wrapText="1"/>
    </xf>
    <xf numFmtId="0" fontId="12" fillId="6" borderId="29" xfId="0" applyFont="1" applyFill="1" applyBorder="1" applyAlignment="1">
      <alignment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8" fontId="0" fillId="0" borderId="0" xfId="4" applyNumberFormat="1" applyFont="1"/>
    <xf numFmtId="0" fontId="0" fillId="0" borderId="20" xfId="0" applyBorder="1"/>
    <xf numFmtId="0" fontId="0" fillId="0" borderId="24" xfId="0" applyBorder="1"/>
    <xf numFmtId="0" fontId="3" fillId="4" borderId="29" xfId="0" applyFont="1" applyFill="1" applyBorder="1" applyAlignment="1">
      <alignment horizontal="left" wrapText="1"/>
    </xf>
    <xf numFmtId="44" fontId="0" fillId="0" borderId="21" xfId="2" applyFont="1" applyBorder="1"/>
    <xf numFmtId="0" fontId="0" fillId="0" borderId="23" xfId="0" applyBorder="1"/>
    <xf numFmtId="168" fontId="0" fillId="0" borderId="23" xfId="4" applyNumberFormat="1" applyFont="1" applyBorder="1"/>
    <xf numFmtId="165" fontId="0" fillId="0" borderId="23" xfId="2" applyNumberFormat="1" applyFont="1" applyBorder="1"/>
    <xf numFmtId="44" fontId="0" fillId="0" borderId="23" xfId="2" applyFont="1" applyBorder="1"/>
    <xf numFmtId="0" fontId="3" fillId="2" borderId="22" xfId="0" quotePrefix="1" applyFont="1" applyFill="1" applyBorder="1" applyAlignment="1">
      <alignment horizontal="left" wrapText="1"/>
    </xf>
    <xf numFmtId="165" fontId="0" fillId="0" borderId="25" xfId="2" applyNumberFormat="1" applyFont="1" applyBorder="1"/>
    <xf numFmtId="0" fontId="0" fillId="0" borderId="31" xfId="0" applyBorder="1"/>
    <xf numFmtId="0" fontId="0" fillId="0" borderId="32" xfId="0" applyBorder="1"/>
    <xf numFmtId="0" fontId="3" fillId="2" borderId="30" xfId="0" applyFont="1" applyFill="1" applyBorder="1" applyAlignment="1">
      <alignment horizontal="left" wrapText="1"/>
    </xf>
    <xf numFmtId="168" fontId="3" fillId="4" borderId="0" xfId="0" applyNumberFormat="1" applyFont="1" applyFill="1" applyBorder="1" applyAlignment="1">
      <alignment horizontal="right" wrapText="1"/>
    </xf>
    <xf numFmtId="8" fontId="3" fillId="4" borderId="0" xfId="0" applyNumberFormat="1" applyFont="1" applyFill="1" applyBorder="1" applyAlignment="1">
      <alignment horizontal="right" wrapText="1"/>
    </xf>
    <xf numFmtId="6" fontId="3" fillId="2" borderId="30" xfId="0" applyNumberFormat="1" applyFont="1" applyFill="1" applyBorder="1" applyAlignment="1">
      <alignment horizontal="right" wrapText="1"/>
    </xf>
    <xf numFmtId="167" fontId="3" fillId="2" borderId="25" xfId="3" applyNumberFormat="1" applyFont="1" applyFill="1" applyBorder="1" applyAlignment="1">
      <alignment horizontal="right" wrapText="1"/>
    </xf>
    <xf numFmtId="0" fontId="0" fillId="0" borderId="19" xfId="0" applyBorder="1"/>
    <xf numFmtId="0" fontId="10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Fill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7" fontId="0" fillId="0" borderId="28" xfId="3" applyNumberFormat="1" applyFont="1" applyBorder="1"/>
    <xf numFmtId="0" fontId="0" fillId="0" borderId="1" xfId="0" applyBorder="1"/>
    <xf numFmtId="0" fontId="1" fillId="0" borderId="6" xfId="0" applyFont="1" applyBorder="1"/>
    <xf numFmtId="0" fontId="0" fillId="0" borderId="0" xfId="0" applyBorder="1"/>
    <xf numFmtId="0" fontId="0" fillId="0" borderId="1" xfId="0" applyBorder="1"/>
    <xf numFmtId="0" fontId="4" fillId="0" borderId="0" xfId="0" applyFont="1" applyBorder="1" applyAlignment="1">
      <alignment horizontal="left" wrapText="1"/>
    </xf>
    <xf numFmtId="6" fontId="4" fillId="0" borderId="0" xfId="0" applyNumberFormat="1" applyFont="1" applyBorder="1" applyAlignment="1">
      <alignment horizontal="right" wrapText="1"/>
    </xf>
    <xf numFmtId="0" fontId="0" fillId="8" borderId="0" xfId="0" applyFont="1" applyFill="1"/>
    <xf numFmtId="0" fontId="0" fillId="8" borderId="0" xfId="0" applyFill="1"/>
    <xf numFmtId="165" fontId="0" fillId="8" borderId="0" xfId="2" applyNumberFormat="1" applyFont="1" applyFill="1"/>
    <xf numFmtId="6" fontId="0" fillId="8" borderId="0" xfId="0" applyNumberFormat="1" applyFill="1"/>
    <xf numFmtId="0" fontId="0" fillId="7" borderId="0" xfId="0" applyFill="1"/>
    <xf numFmtId="6" fontId="0" fillId="7" borderId="0" xfId="0" applyNumberFormat="1" applyFill="1"/>
    <xf numFmtId="165" fontId="0" fillId="7" borderId="0" xfId="2" applyNumberFormat="1" applyFont="1" applyFill="1"/>
    <xf numFmtId="0" fontId="0" fillId="7" borderId="0" xfId="0" applyFont="1" applyFill="1"/>
    <xf numFmtId="0" fontId="4" fillId="0" borderId="13" xfId="0" applyFont="1" applyBorder="1" applyAlignment="1">
      <alignment horizontal="left" wrapText="1"/>
    </xf>
    <xf numFmtId="6" fontId="4" fillId="0" borderId="13" xfId="0" applyNumberFormat="1" applyFont="1" applyBorder="1" applyAlignment="1">
      <alignment horizontal="right" wrapText="1"/>
    </xf>
    <xf numFmtId="0" fontId="1" fillId="0" borderId="15" xfId="0" applyFont="1" applyBorder="1"/>
    <xf numFmtId="0" fontId="1" fillId="0" borderId="6" xfId="0" applyFont="1" applyBorder="1"/>
    <xf numFmtId="0" fontId="1" fillId="0" borderId="16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" xfId="0" applyBorder="1"/>
    <xf numFmtId="0" fontId="0" fillId="0" borderId="0" xfId="0" applyBorder="1"/>
    <xf numFmtId="0" fontId="1" fillId="0" borderId="15" xfId="0" applyFont="1" applyBorder="1"/>
    <xf numFmtId="0" fontId="1" fillId="0" borderId="6" xfId="0" applyFont="1" applyBorder="1"/>
    <xf numFmtId="0" fontId="1" fillId="0" borderId="16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" xfId="0" applyBorder="1"/>
    <xf numFmtId="0" fontId="1" fillId="0" borderId="15" xfId="0" applyFont="1" applyBorder="1"/>
    <xf numFmtId="0" fontId="1" fillId="0" borderId="6" xfId="0" applyFont="1" applyBorder="1"/>
    <xf numFmtId="0" fontId="1" fillId="0" borderId="16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0" xfId="0" applyBorder="1"/>
    <xf numFmtId="0" fontId="0" fillId="0" borderId="13" xfId="0" applyBorder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right" vertical="top" wrapText="1"/>
    </xf>
    <xf numFmtId="6" fontId="14" fillId="0" borderId="0" xfId="0" applyNumberFormat="1" applyFont="1" applyAlignment="1">
      <alignment horizontal="right" vertical="top" wrapText="1"/>
    </xf>
    <xf numFmtId="6" fontId="15" fillId="0" borderId="0" xfId="0" applyNumberFormat="1" applyFont="1" applyAlignment="1">
      <alignment horizontal="right" vertical="top" wrapText="1"/>
    </xf>
    <xf numFmtId="0" fontId="5" fillId="0" borderId="0" xfId="1" applyAlignment="1" applyProtection="1">
      <alignment horizontal="left" vertical="top" wrapText="1"/>
    </xf>
    <xf numFmtId="6" fontId="16" fillId="0" borderId="0" xfId="0" applyNumberFormat="1" applyFont="1" applyAlignment="1">
      <alignment horizontal="right" vertical="top" wrapText="1"/>
    </xf>
    <xf numFmtId="3" fontId="14" fillId="0" borderId="0" xfId="0" applyNumberFormat="1" applyFont="1" applyAlignment="1">
      <alignment horizontal="right" vertical="top" wrapText="1"/>
    </xf>
    <xf numFmtId="0" fontId="1" fillId="0" borderId="6" xfId="0" applyFont="1" applyBorder="1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1" fillId="0" borderId="15" xfId="0" applyFont="1" applyBorder="1"/>
    <xf numFmtId="0" fontId="1" fillId="0" borderId="6" xfId="0" applyFont="1" applyBorder="1"/>
    <xf numFmtId="0" fontId="1" fillId="0" borderId="16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" xfId="0" applyBorder="1"/>
    <xf numFmtId="0" fontId="1" fillId="0" borderId="15" xfId="0" applyFont="1" applyBorder="1"/>
    <xf numFmtId="0" fontId="1" fillId="0" borderId="6" xfId="0" applyFont="1" applyBorder="1"/>
    <xf numFmtId="0" fontId="1" fillId="0" borderId="16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12" fillId="6" borderId="33" xfId="0" applyFont="1" applyFill="1" applyBorder="1" applyAlignment="1">
      <alignment wrapText="1"/>
    </xf>
    <xf numFmtId="0" fontId="12" fillId="6" borderId="34" xfId="0" applyFont="1" applyFill="1" applyBorder="1" applyAlignment="1">
      <alignment wrapText="1"/>
    </xf>
    <xf numFmtId="0" fontId="12" fillId="6" borderId="20" xfId="0" applyFont="1" applyFill="1" applyBorder="1" applyAlignment="1">
      <alignment wrapText="1"/>
    </xf>
    <xf numFmtId="0" fontId="12" fillId="6" borderId="21" xfId="0" applyFont="1" applyFill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5" borderId="0" xfId="0" applyFont="1" applyFill="1" applyBorder="1"/>
    <xf numFmtId="0" fontId="10" fillId="5" borderId="0" xfId="0" applyFont="1" applyFill="1"/>
    <xf numFmtId="0" fontId="0" fillId="5" borderId="0" xfId="0" applyFill="1"/>
    <xf numFmtId="0" fontId="0" fillId="5" borderId="1" xfId="0" applyFill="1" applyBorder="1"/>
    <xf numFmtId="165" fontId="0" fillId="5" borderId="0" xfId="2" applyNumberFormat="1" applyFont="1" applyFill="1"/>
    <xf numFmtId="2" fontId="0" fillId="5" borderId="0" xfId="0" applyNumberFormat="1" applyFill="1"/>
    <xf numFmtId="2" fontId="0" fillId="5" borderId="0" xfId="0" applyNumberFormat="1" applyFill="1" applyBorder="1"/>
    <xf numFmtId="0" fontId="0" fillId="5" borderId="11" xfId="0" applyFill="1" applyBorder="1"/>
    <xf numFmtId="0" fontId="0" fillId="5" borderId="0" xfId="0" applyFill="1" applyBorder="1"/>
    <xf numFmtId="1" fontId="0" fillId="5" borderId="0" xfId="0" applyNumberFormat="1" applyFill="1"/>
    <xf numFmtId="9" fontId="0" fillId="0" borderId="0" xfId="3" applyFont="1" applyBorder="1" applyAlignment="1"/>
    <xf numFmtId="0" fontId="11" fillId="0" borderId="7" xfId="0" applyFont="1" applyFill="1" applyBorder="1" applyAlignment="1">
      <alignment textRotation="90"/>
    </xf>
    <xf numFmtId="2" fontId="0" fillId="0" borderId="19" xfId="0" applyNumberFormat="1" applyBorder="1"/>
    <xf numFmtId="0" fontId="1" fillId="0" borderId="0" xfId="0" applyFont="1" applyAlignment="1">
      <alignment horizontal="right"/>
    </xf>
    <xf numFmtId="2" fontId="0" fillId="0" borderId="0" xfId="0" applyNumberFormat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Fill="1" applyBorder="1" applyAlignment="1"/>
  </cellXfs>
  <cellStyles count="5">
    <cellStyle name="Comma" xfId="4" builtinId="3"/>
    <cellStyle name="Currency" xfId="2" builtinId="4"/>
    <cellStyle name="Hyperlink" xfId="1" builtinId="8"/>
    <cellStyle name="Normal" xfId="0" builtinId="0"/>
    <cellStyle name="Percent" xfId="3" builtinId="5"/>
  </cellStyles>
  <dxfs count="15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</dxf>
    <dxf>
      <font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</dxf>
    <dxf>
      <font>
        <color rgb="FFFF0000"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color rgb="FF00B050"/>
      </font>
    </dxf>
    <dxf>
      <font>
        <color rgb="FFFF0000"/>
      </font>
    </dxf>
    <dxf>
      <fill>
        <patternFill>
          <bgColor theme="6" tint="0.79998168889431442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rgb="FFFF0000"/>
      </font>
    </dxf>
    <dxf>
      <font>
        <color rgb="FF00B050"/>
      </font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ont>
        <color rgb="FFFFFF00"/>
      </font>
      <fill>
        <patternFill>
          <bgColor theme="0" tint="-0.14996795556505021"/>
        </patternFill>
      </fill>
    </dxf>
    <dxf>
      <font>
        <color theme="9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theme="9"/>
      </font>
    </dxf>
    <dxf>
      <font>
        <color rgb="FFFF0000"/>
      </font>
    </dxf>
    <dxf>
      <font>
        <color rgb="FFFFFF00"/>
      </font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5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</dxfs>
  <tableStyles count="0" defaultTableStyle="TableStyleMedium9"/>
  <colors>
    <mruColors>
      <color rgb="FFEDE80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ikipeba.com/statslab13/payroll.php?player=3496" TargetMode="External"/><Relationship Id="rId13" Type="http://schemas.openxmlformats.org/officeDocument/2006/relationships/hyperlink" Target="http://wikipeba.com/statslab13/payroll.php?player=10363" TargetMode="External"/><Relationship Id="rId18" Type="http://schemas.openxmlformats.org/officeDocument/2006/relationships/hyperlink" Target="http://wikipeba.com/statslab13/payroll.php?player=11204" TargetMode="External"/><Relationship Id="rId26" Type="http://schemas.openxmlformats.org/officeDocument/2006/relationships/hyperlink" Target="http://wikipeba.com/statslab13/payroll.php?player=2142" TargetMode="External"/><Relationship Id="rId3" Type="http://schemas.openxmlformats.org/officeDocument/2006/relationships/hyperlink" Target="http://wikipeba.com/statslab13/payroll.php?player=4180" TargetMode="External"/><Relationship Id="rId21" Type="http://schemas.openxmlformats.org/officeDocument/2006/relationships/hyperlink" Target="http://wikipeba.com/statslab13/payroll.php?player=10647" TargetMode="External"/><Relationship Id="rId34" Type="http://schemas.openxmlformats.org/officeDocument/2006/relationships/hyperlink" Target="http://wikipeba.com/statslab13/payroll.php?player=9953" TargetMode="External"/><Relationship Id="rId7" Type="http://schemas.openxmlformats.org/officeDocument/2006/relationships/hyperlink" Target="http://wikipeba.com/statslab13/payroll.php?player=11843" TargetMode="External"/><Relationship Id="rId12" Type="http://schemas.openxmlformats.org/officeDocument/2006/relationships/hyperlink" Target="http://wikipeba.com/statslab13/payroll.php?player=10569" TargetMode="External"/><Relationship Id="rId17" Type="http://schemas.openxmlformats.org/officeDocument/2006/relationships/hyperlink" Target="http://wikipeba.com/statslab13/payroll.php?player=10630" TargetMode="External"/><Relationship Id="rId25" Type="http://schemas.openxmlformats.org/officeDocument/2006/relationships/hyperlink" Target="http://wikipeba.com/statslab13/payroll.php?player=2332" TargetMode="External"/><Relationship Id="rId33" Type="http://schemas.openxmlformats.org/officeDocument/2006/relationships/hyperlink" Target="http://wikipeba.com/statslab13/payroll.php?player=39" TargetMode="External"/><Relationship Id="rId2" Type="http://schemas.openxmlformats.org/officeDocument/2006/relationships/hyperlink" Target="http://wikipeba.com/statslab13/payroll.php?player=9348" TargetMode="External"/><Relationship Id="rId16" Type="http://schemas.openxmlformats.org/officeDocument/2006/relationships/hyperlink" Target="http://wikipeba.com/statslab13/payroll.php?player=10592" TargetMode="External"/><Relationship Id="rId20" Type="http://schemas.openxmlformats.org/officeDocument/2006/relationships/hyperlink" Target="http://wikipeba.com/statslab13/payroll.php?player=11871" TargetMode="External"/><Relationship Id="rId29" Type="http://schemas.openxmlformats.org/officeDocument/2006/relationships/hyperlink" Target="http://wikipeba.com/statslab13/payroll.php?player=7563" TargetMode="External"/><Relationship Id="rId1" Type="http://schemas.openxmlformats.org/officeDocument/2006/relationships/hyperlink" Target="http://wikipeba.com/statslab13/payroll.php?player=3959" TargetMode="External"/><Relationship Id="rId6" Type="http://schemas.openxmlformats.org/officeDocument/2006/relationships/hyperlink" Target="http://wikipeba.com/statslab13/payroll.php?player=3560" TargetMode="External"/><Relationship Id="rId11" Type="http://schemas.openxmlformats.org/officeDocument/2006/relationships/hyperlink" Target="http://wikipeba.com/statslab13/payroll.php?player=486" TargetMode="External"/><Relationship Id="rId24" Type="http://schemas.openxmlformats.org/officeDocument/2006/relationships/hyperlink" Target="http://wikipeba.com/statslab13/payroll.php?player=3110" TargetMode="External"/><Relationship Id="rId32" Type="http://schemas.openxmlformats.org/officeDocument/2006/relationships/hyperlink" Target="http://wikipeba.com/statslab13/payroll.php?player=1148" TargetMode="External"/><Relationship Id="rId5" Type="http://schemas.openxmlformats.org/officeDocument/2006/relationships/hyperlink" Target="http://wikipeba.com/statslab13/payroll.php?player=4700" TargetMode="External"/><Relationship Id="rId15" Type="http://schemas.openxmlformats.org/officeDocument/2006/relationships/hyperlink" Target="http://wikipeba.com/statslab13/payroll.php?player=12148" TargetMode="External"/><Relationship Id="rId23" Type="http://schemas.openxmlformats.org/officeDocument/2006/relationships/hyperlink" Target="http://wikipeba.com/statslab13/payroll.php?player=9686" TargetMode="External"/><Relationship Id="rId28" Type="http://schemas.openxmlformats.org/officeDocument/2006/relationships/hyperlink" Target="http://wikipeba.com/statslab13/payroll.php?player=4650" TargetMode="External"/><Relationship Id="rId10" Type="http://schemas.openxmlformats.org/officeDocument/2006/relationships/hyperlink" Target="http://wikipeba.com/statslab13/payroll.php?player=3267" TargetMode="External"/><Relationship Id="rId19" Type="http://schemas.openxmlformats.org/officeDocument/2006/relationships/hyperlink" Target="http://wikipeba.com/statslab13/payroll.php?player=11101" TargetMode="External"/><Relationship Id="rId31" Type="http://schemas.openxmlformats.org/officeDocument/2006/relationships/hyperlink" Target="http://wikipeba.com/statslab13/payroll.php?player=9799" TargetMode="External"/><Relationship Id="rId4" Type="http://schemas.openxmlformats.org/officeDocument/2006/relationships/hyperlink" Target="http://wikipeba.com/statslab13/payroll.php?player=10036" TargetMode="External"/><Relationship Id="rId9" Type="http://schemas.openxmlformats.org/officeDocument/2006/relationships/hyperlink" Target="http://wikipeba.com/statslab13/payroll.php?player=1428" TargetMode="External"/><Relationship Id="rId14" Type="http://schemas.openxmlformats.org/officeDocument/2006/relationships/hyperlink" Target="http://wikipeba.com/statslab13/payroll.php?player=10344" TargetMode="External"/><Relationship Id="rId22" Type="http://schemas.openxmlformats.org/officeDocument/2006/relationships/hyperlink" Target="http://wikipeba.com/statslab13/payroll.php?player=10318" TargetMode="External"/><Relationship Id="rId27" Type="http://schemas.openxmlformats.org/officeDocument/2006/relationships/hyperlink" Target="http://wikipeba.com/statslab13/payroll.php?player=1433" TargetMode="External"/><Relationship Id="rId30" Type="http://schemas.openxmlformats.org/officeDocument/2006/relationships/hyperlink" Target="http://wikipeba.com/statslab13/payroll.php?player=9906" TargetMode="External"/><Relationship Id="rId35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babaseball.com/reports/news/html/players/player_4180.html" TargetMode="External"/><Relationship Id="rId2" Type="http://schemas.openxmlformats.org/officeDocument/2006/relationships/hyperlink" Target="http://www.pebabaseball.com/reports/news/html/players/player_9348.html" TargetMode="External"/><Relationship Id="rId1" Type="http://schemas.openxmlformats.org/officeDocument/2006/relationships/hyperlink" Target="http://www.pebabaseball.com/reports/news/html/players/player_3959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www.pebabaseball.com/reports/news/html/players/player_4700.html" TargetMode="External"/><Relationship Id="rId4" Type="http://schemas.openxmlformats.org/officeDocument/2006/relationships/hyperlink" Target="http://www.pebabaseball.com/reports/news/html/players/player_10036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codeName="Sheet1">
    <tabColor theme="2" tint="-0.499984740745262"/>
  </sheetPr>
  <dimension ref="A1:AZ70"/>
  <sheetViews>
    <sheetView topLeftCell="A31" zoomScale="85" zoomScaleNormal="85" workbookViewId="0">
      <selection activeCell="AG48" sqref="AG48"/>
    </sheetView>
  </sheetViews>
  <sheetFormatPr defaultRowHeight="15"/>
  <cols>
    <col min="1" max="1" width="2" bestFit="1" customWidth="1"/>
    <col min="2" max="2" width="10.7109375" style="1" bestFit="1" customWidth="1"/>
    <col min="3" max="3" width="20" style="26" bestFit="1" customWidth="1"/>
    <col min="4" max="4" width="4.7109375" style="26" bestFit="1" customWidth="1"/>
    <col min="5" max="5" width="4.42578125" style="26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0.42578125" bestFit="1" customWidth="1"/>
    <col min="27" max="27" width="4.28515625" bestFit="1" customWidth="1"/>
    <col min="28" max="29" width="4.7109375" bestFit="1" customWidth="1"/>
    <col min="30" max="32" width="3.7109375" bestFit="1" customWidth="1"/>
    <col min="33" max="33" width="4.7109375" bestFit="1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>
      <c r="D1" s="26">
        <v>4</v>
      </c>
      <c r="E1" s="26">
        <v>5</v>
      </c>
      <c r="J1">
        <v>23</v>
      </c>
      <c r="K1">
        <v>21</v>
      </c>
      <c r="L1">
        <v>22</v>
      </c>
      <c r="M1">
        <v>24</v>
      </c>
      <c r="N1">
        <v>25</v>
      </c>
      <c r="O1">
        <v>26</v>
      </c>
      <c r="P1">
        <v>27</v>
      </c>
      <c r="Q1">
        <v>28</v>
      </c>
      <c r="R1">
        <v>29</v>
      </c>
      <c r="S1">
        <v>30</v>
      </c>
      <c r="T1">
        <v>31</v>
      </c>
      <c r="AD1">
        <v>11</v>
      </c>
      <c r="AE1">
        <v>12</v>
      </c>
      <c r="AF1">
        <v>13</v>
      </c>
      <c r="AG1">
        <v>14</v>
      </c>
      <c r="AH1">
        <v>15</v>
      </c>
      <c r="AI1">
        <v>32</v>
      </c>
      <c r="AJ1">
        <v>33</v>
      </c>
      <c r="AU1">
        <v>16</v>
      </c>
      <c r="AV1">
        <v>17</v>
      </c>
      <c r="AW1">
        <v>18</v>
      </c>
      <c r="AX1">
        <v>19</v>
      </c>
      <c r="AY1">
        <v>20</v>
      </c>
    </row>
    <row r="2" spans="1:52" s="24" customFormat="1" ht="215.25">
      <c r="A2" s="25" t="s">
        <v>196</v>
      </c>
      <c r="B2" s="43" t="s">
        <v>127</v>
      </c>
      <c r="C2" s="44" t="str">
        <f>"Player ("&amp;COUNTA(C3:C11)&amp;")"</f>
        <v>Player (8)</v>
      </c>
      <c r="D2" s="44" t="s">
        <v>94</v>
      </c>
      <c r="E2" s="44" t="s">
        <v>104</v>
      </c>
      <c r="F2" s="51" t="str">
        <f>"Only 1 guy who plays only 1B ("&amp;SUM(F3:F11)&amp;")"</f>
        <v>Only 1 guy who plays only 1B (2)</v>
      </c>
      <c r="G2" s="45" t="str">
        <f>"Only 1 guy who can only play 1B or LF ("&amp;SUM(G3:G11)&amp;")"</f>
        <v>Only 1 guy who can only play 1B or LF (2)</v>
      </c>
      <c r="H2" s="46" t="str">
        <f>"2 guys with RF arms ("&amp;SUM(H3:H11)&amp;")"</f>
        <v>2 guys with RF arms (3)</v>
      </c>
      <c r="I2" s="46" t="str">
        <f>"2 guys with CF range ("&amp;SUM(I3:I11)&amp;")"</f>
        <v>2 guys with CF range (3)</v>
      </c>
      <c r="J2" s="55" t="s">
        <v>139</v>
      </c>
      <c r="K2" s="47" t="s">
        <v>137</v>
      </c>
      <c r="L2" s="56" t="s">
        <v>138</v>
      </c>
      <c r="M2" s="48" t="s">
        <v>95</v>
      </c>
      <c r="N2" s="48" t="s">
        <v>97</v>
      </c>
      <c r="O2" s="48" t="s">
        <v>98</v>
      </c>
      <c r="P2" s="48" t="s">
        <v>99</v>
      </c>
      <c r="Q2" s="48" t="s">
        <v>100</v>
      </c>
      <c r="R2" s="48" t="s">
        <v>101</v>
      </c>
      <c r="S2" s="48" t="s">
        <v>102</v>
      </c>
      <c r="T2" s="49" t="s">
        <v>103</v>
      </c>
      <c r="U2" s="51" t="s">
        <v>140</v>
      </c>
      <c r="V2" s="45" t="s">
        <v>184</v>
      </c>
      <c r="W2" s="45" t="s">
        <v>141</v>
      </c>
      <c r="X2" s="45" t="s">
        <v>157</v>
      </c>
      <c r="Y2" s="45" t="s">
        <v>156</v>
      </c>
      <c r="Z2" s="45" t="s">
        <v>144</v>
      </c>
      <c r="AA2" s="45" t="s">
        <v>145</v>
      </c>
      <c r="AB2" s="45" t="s">
        <v>162</v>
      </c>
      <c r="AC2" s="60" t="s">
        <v>146</v>
      </c>
      <c r="AD2" s="48" t="s">
        <v>150</v>
      </c>
      <c r="AE2" s="48" t="s">
        <v>151</v>
      </c>
      <c r="AF2" s="48" t="s">
        <v>152</v>
      </c>
      <c r="AG2" s="48" t="s">
        <v>153</v>
      </c>
      <c r="AH2" s="48" t="s">
        <v>29</v>
      </c>
      <c r="AI2" s="63" t="s">
        <v>154</v>
      </c>
      <c r="AJ2" s="49" t="s">
        <v>155</v>
      </c>
      <c r="AK2" s="66" t="s">
        <v>160</v>
      </c>
      <c r="AL2" s="51" t="s">
        <v>140</v>
      </c>
      <c r="AM2" s="45" t="s">
        <v>184</v>
      </c>
      <c r="AN2" s="45" t="s">
        <v>141</v>
      </c>
      <c r="AO2" s="45" t="s">
        <v>157</v>
      </c>
      <c r="AP2" s="45" t="s">
        <v>156</v>
      </c>
      <c r="AQ2" s="45" t="s">
        <v>144</v>
      </c>
      <c r="AR2" s="45" t="s">
        <v>145</v>
      </c>
      <c r="AS2" s="45" t="s">
        <v>162</v>
      </c>
      <c r="AT2" s="60" t="s">
        <v>146</v>
      </c>
      <c r="AU2" s="63" t="s">
        <v>150</v>
      </c>
      <c r="AV2" s="48" t="s">
        <v>151</v>
      </c>
      <c r="AW2" s="48" t="s">
        <v>152</v>
      </c>
      <c r="AX2" s="48" t="s">
        <v>153</v>
      </c>
      <c r="AY2" s="49" t="s">
        <v>29</v>
      </c>
      <c r="AZ2" s="66" t="s">
        <v>201</v>
      </c>
    </row>
    <row r="3" spans="1:52">
      <c r="A3">
        <v>1</v>
      </c>
      <c r="B3" s="32" t="s">
        <v>97</v>
      </c>
      <c r="C3" s="37" t="s">
        <v>428</v>
      </c>
      <c r="D3" s="33">
        <f>IF($C3="","",VLOOKUP($C3,CTBat!$G$10:$BR$208,D$1,FALSE))</f>
        <v>29</v>
      </c>
      <c r="E3" s="33" t="str">
        <f>IF($C3="","",VLOOKUP($C3,CTBat!$G$10:$BR$208,E$1,FALSE))</f>
        <v>L</v>
      </c>
      <c r="F3" s="52">
        <f>IF($C3="","",IF(AND(N3&gt;0,N3=SUM(M3:T3)),1,0))</f>
        <v>1</v>
      </c>
      <c r="G3" s="34">
        <f>IF($C3="","",IF(AND(OR(N3&gt;0,R3&gt;0),SUM(N3,R3)=SUM(M3:T3)),1,0))</f>
        <v>1</v>
      </c>
      <c r="H3" s="34">
        <f>IF($C3="","",IF(L3&gt;6,1,0))</f>
        <v>0</v>
      </c>
      <c r="I3" s="34">
        <f t="shared" ref="I3:I7" si="0">IF($C3="","",IF(AND(S3&gt;4,S3&lt;&gt;"-"),1,0))</f>
        <v>0</v>
      </c>
      <c r="J3" s="57">
        <f>IF($C3="","",VLOOKUP($C3,CTBat!$G$10:$BR$208,J$1,FALSE))</f>
        <v>1</v>
      </c>
      <c r="K3" s="33">
        <f>IF($C3="","",VLOOKUP($C3,CTBat!$G$10:$BR$208,K$1,FALSE))</f>
        <v>3</v>
      </c>
      <c r="L3" s="35">
        <f>IF($C3="","",VLOOKUP($C3,CTBat!$G$10:$BR$208,L$1,FALSE))</f>
        <v>3</v>
      </c>
      <c r="M3" s="33" t="str">
        <f>IF($C3="","",VLOOKUP($C3,CTBat!$G$10:$BR$208,M$1,FALSE))</f>
        <v>-</v>
      </c>
      <c r="N3" s="33">
        <f>IF($C3="","",VLOOKUP($C3,CTBat!$G$10:$BR$208,N$1,FALSE))</f>
        <v>7</v>
      </c>
      <c r="O3" s="33" t="str">
        <f>IF($C3="","",VLOOKUP($C3,CTBat!$G$10:$BR$208,O$1,FALSE))</f>
        <v>-</v>
      </c>
      <c r="P3" s="33" t="str">
        <f>IF($C3="","",VLOOKUP($C3,CTBat!$G$10:$BR$208,P$1,FALSE))</f>
        <v>-</v>
      </c>
      <c r="Q3" s="33" t="str">
        <f>IF($C3="","",VLOOKUP($C3,CTBat!$G$10:$BR$208,Q$1,FALSE))</f>
        <v>-</v>
      </c>
      <c r="R3" s="33" t="str">
        <f>IF($C3="","",VLOOKUP($C3,CTBat!$G$10:$BR$208,R$1,FALSE))</f>
        <v>-</v>
      </c>
      <c r="S3" s="33" t="str">
        <f>IF($C3="","",VLOOKUP($C3,CTBat!$G$10:$BR$208,S$1,FALSE))</f>
        <v>-</v>
      </c>
      <c r="T3" s="35" t="str">
        <f>IF($C3="","",VLOOKUP($C3,CTBat!$G$10:$BR$208,T$1,FALSE))</f>
        <v>-</v>
      </c>
      <c r="U3" s="53">
        <f t="shared" ref="U3:U11" si="1">IF($C3="","",IF(OR(AD3+AG3&gt;14,AND(OR(AD3+AG3&gt;12,AND(AD3&gt;6,AG3&gt;6)),AI3&gt;6,OR(AJ3&gt;=AI3,AJ3&gt;6))),1,0))</f>
        <v>0</v>
      </c>
      <c r="V3" s="5">
        <f t="shared" ref="V3:V4" si="2">IF($C3="","",IF(OR(AND(AD3&gt;6,AH3&gt;6),AD3+AG3&gt;12),1,0))</f>
        <v>0</v>
      </c>
      <c r="W3" s="34">
        <f>IF($C3="","",IF(AND(AD3&gt;6,AF3&gt;6,AG3&gt;6),1,0))</f>
        <v>0</v>
      </c>
      <c r="X3" s="34">
        <f>IF($C3="","",IF(AND(AF3&gt;7,OR(AD3&gt;6,AG3&gt;6)),1,0))</f>
        <v>0</v>
      </c>
      <c r="Y3" s="34">
        <f>IF($C3="","",IF(AND(AF3&gt;6,OR(AD3&gt;6,AG3&gt;6)),1,0))</f>
        <v>0</v>
      </c>
      <c r="Z3" s="34">
        <f>IF($C3="","",IF(AND(OR(AD3&gt;6,AF3&gt;6),OR(AD3&gt;6,AG3&gt;6)),1,0))</f>
        <v>0</v>
      </c>
      <c r="AA3" s="34">
        <f>IF($C3="","",IF(AND(AD3&gt;4,OR(AD3&gt;6,AF3&gt;6,AG3&gt;6)),1,0))</f>
        <v>1</v>
      </c>
      <c r="AB3" s="34">
        <f>IF($C3="","",IF(AND(AD3&gt;4,OR(AD3&gt;6,AE3&gt;6,AF3&gt;6,AG3&gt;6)),1,0))</f>
        <v>1</v>
      </c>
      <c r="AC3" s="61">
        <f>IF($C3="","",IF(AND(AD3&gt;4,MAX(AD3:AH3)&gt;6),1,0))</f>
        <v>1</v>
      </c>
      <c r="AD3" s="33">
        <f>IF($C3="","",VLOOKUP($C3,CTBat!$G$10:$BR$208,AD$1,FALSE))</f>
        <v>6</v>
      </c>
      <c r="AE3" s="33">
        <f>IF($C3="","",VLOOKUP($C3,CTBat!$G$10:$BR$208,AE$1,FALSE))</f>
        <v>6</v>
      </c>
      <c r="AF3" s="33">
        <f>IF($C3="","",VLOOKUP($C3,CTBat!$G$10:$BR$208,AF$1,FALSE))</f>
        <v>8</v>
      </c>
      <c r="AG3" s="33">
        <f>IF($C3="","",VLOOKUP($C3,CTBat!$G$10:$BR$208,AG$1,FALSE))</f>
        <v>6</v>
      </c>
      <c r="AH3" s="33">
        <f>IF($C3="","",VLOOKUP($C3,CTBat!$G$10:$BR$208,AH$1,FALSE))</f>
        <v>4</v>
      </c>
      <c r="AI3" s="57">
        <f>IF($C3="","",VLOOKUP($C3,CTBat!$G$10:$BR$208,AI$1,FALSE))</f>
        <v>1</v>
      </c>
      <c r="AJ3" s="35">
        <f>IF($C3="","",VLOOKUP($C3,CTBat!$G$10:$BR$208,AJ$1,FALSE))</f>
        <v>2</v>
      </c>
      <c r="AK3" s="67">
        <f>IF($C3="","",(5*AD3+4*AF3+3*AG3+2*AE3+1*AH3+0.5*(AVERAGE(AD3:AE3))+0.5*AVERAGE(AD3,AH3)+1*(AVERAGE(AD3,AF3))+1*AVERAGE(AD3,AG3))/(5+4+3+2+1+0.5+0.5+1+1))</f>
        <v>6.3611111111111107</v>
      </c>
      <c r="AL3" s="52">
        <f>IF($C3="","",IF(AND(OR(AU3+AX3&gt;12,AND(AU3&gt;6,AX3&gt;6)),AI3&gt;6,OR(AJ3&gt;=AI3,AJ3&gt;6)),1,0))</f>
        <v>0</v>
      </c>
      <c r="AM3" s="34">
        <f>IF($C3="","",IF(OR(AND(AU3&gt;6,AY3&gt;6),AU3+AX3&gt;12),1,0))</f>
        <v>0</v>
      </c>
      <c r="AN3" s="34">
        <f>IF($C3="","",IF(AND(AU3&gt;6,AW3&gt;6,AX3&gt;6),1,0))</f>
        <v>0</v>
      </c>
      <c r="AO3" s="34">
        <f>IF($C3="","",IF(AND(AW3&gt;7,OR(AU3&gt;6,AX3&gt;6)),1,0))</f>
        <v>0</v>
      </c>
      <c r="AP3" s="34">
        <f>IF($C3="","",IF(AND(AW3&gt;6,OR(AU3&gt;6,AX3&gt;6)),1,0))</f>
        <v>0</v>
      </c>
      <c r="AQ3" s="34">
        <f>IF($C3="","",IF(AND(OR(AU3&gt;6,AW3&gt;6),OR(AU3&gt;6,AX3&gt;6)),1,0))</f>
        <v>0</v>
      </c>
      <c r="AR3" s="34">
        <f>IF($C3="","",IF(AND(AU3&gt;4,OR(AU3&gt;6,AW3&gt;6,AX3&gt;6)),1,0))</f>
        <v>1</v>
      </c>
      <c r="AS3" s="34">
        <f>IF($C3="","",IF(AND(AU3&gt;4,OR(AU3&gt;6,AV3&gt;6,AW3&gt;6,AX3&gt;6)),1,0))</f>
        <v>1</v>
      </c>
      <c r="AT3" s="61">
        <f>IF($C3="","",IF(AND(AU3&gt;4,MAX(AU3:AY3)&gt;6),1,0))</f>
        <v>1</v>
      </c>
      <c r="AU3" s="57">
        <f>IF($C3="","",VLOOKUP($C3,CTBat!$G$10:$BR$208,AU$1,FALSE))</f>
        <v>6</v>
      </c>
      <c r="AV3" s="33">
        <f>IF($C3="","",VLOOKUP($C3,CTBat!$G$10:$BR$208,AV$1,FALSE))</f>
        <v>6</v>
      </c>
      <c r="AW3" s="33">
        <f>IF($C3="","",VLOOKUP($C3,CTBat!$G$10:$BR$208,AW$1,FALSE))</f>
        <v>8</v>
      </c>
      <c r="AX3" s="33">
        <f>IF($C3="","",VLOOKUP($C3,CTBat!$G$10:$BR$208,AX$1,FALSE))</f>
        <v>6</v>
      </c>
      <c r="AY3" s="35">
        <f>IF($C3="","",VLOOKUP($C3,CTBat!$G$10:$BR$208,AY$1,FALSE))</f>
        <v>4</v>
      </c>
      <c r="AZ3" s="67">
        <f>IF($C3="","",(5*AU3+4*AW3+3*AX3+2*AV3+1*AY3+0.5*(AVERAGE(AU3:AV3))+0.5*AVERAGE(AU3,AY3)+1*(AVERAGE(AU3,AW3))+1*AVERAGE(AU3,AX3))/(5+4+3+2+1+0.5+0.5+1+1))</f>
        <v>6.3611111111111107</v>
      </c>
    </row>
    <row r="4" spans="1:52">
      <c r="A4">
        <v>2</v>
      </c>
      <c r="B4" s="36" t="s">
        <v>101</v>
      </c>
      <c r="C4" s="37" t="s">
        <v>425</v>
      </c>
      <c r="D4" s="37">
        <f>IF($C4="","",VLOOKUP($C4,CTBat!$G$10:$BR$208,D$1,FALSE))</f>
        <v>27</v>
      </c>
      <c r="E4" s="37" t="str">
        <f>IF($C4="","",VLOOKUP($C4,CTBat!$G$10:$BR$208,E$1,FALSE))</f>
        <v>L</v>
      </c>
      <c r="F4" s="53">
        <f t="shared" ref="F4:F11" si="3">IF($C4="","",IF(AND(N4&gt;0,N4=SUM(M4:T4)),1,0))</f>
        <v>0</v>
      </c>
      <c r="G4" s="5">
        <f t="shared" ref="G4:G11" si="4">IF($C4="","",IF(AND(OR(N4&gt;0,R4&gt;0),SUM(N4,R4)=SUM(M4:T4)),1,0))</f>
        <v>0</v>
      </c>
      <c r="H4" s="5">
        <f t="shared" ref="H4:H11" si="5">IF($C4="","",IF(L4&gt;6,1,0))</f>
        <v>0</v>
      </c>
      <c r="I4" s="5">
        <f t="shared" si="0"/>
        <v>1</v>
      </c>
      <c r="J4" s="58">
        <f>IF($C4="","",VLOOKUP($C4,CTBat!$G$10:$BR$208,J$1,FALSE))</f>
        <v>1</v>
      </c>
      <c r="K4" s="37">
        <f>IF($C4="","",VLOOKUP($C4,CTBat!$G$10:$BR$208,K$1,FALSE))</f>
        <v>1</v>
      </c>
      <c r="L4" s="38">
        <f>IF($C4="","",VLOOKUP($C4,CTBat!$G$10:$BR$208,L$1,FALSE))</f>
        <v>4</v>
      </c>
      <c r="M4" s="37" t="str">
        <f>IF($C4="","",VLOOKUP($C4,CTBat!$G$10:$BR$208,M$1,FALSE))</f>
        <v>-</v>
      </c>
      <c r="N4" s="37" t="str">
        <f>IF($C4="","",VLOOKUP($C4,CTBat!$G$10:$BR$208,N$1,FALSE))</f>
        <v>-</v>
      </c>
      <c r="O4" s="37" t="str">
        <f>IF($C4="","",VLOOKUP($C4,CTBat!$G$10:$BR$208,O$1,FALSE))</f>
        <v>-</v>
      </c>
      <c r="P4" s="37" t="str">
        <f>IF($C4="","",VLOOKUP($C4,CTBat!$G$10:$BR$208,P$1,FALSE))</f>
        <v>-</v>
      </c>
      <c r="Q4" s="37" t="str">
        <f>IF($C4="","",VLOOKUP($C4,CTBat!$G$10:$BR$208,Q$1,FALSE))</f>
        <v>-</v>
      </c>
      <c r="R4" s="37">
        <f>IF($C4="","",VLOOKUP($C4,CTBat!$G$10:$BR$208,R$1,FALSE))</f>
        <v>10</v>
      </c>
      <c r="S4" s="37">
        <f>IF($C4="","",VLOOKUP($C4,CTBat!$G$10:$BR$208,S$1,FALSE))</f>
        <v>7</v>
      </c>
      <c r="T4" s="38">
        <f>IF($C4="","",VLOOKUP($C4,CTBat!$G$10:$BR$208,T$1,FALSE))</f>
        <v>8</v>
      </c>
      <c r="U4" s="53">
        <f t="shared" si="1"/>
        <v>1</v>
      </c>
      <c r="V4" s="5">
        <f t="shared" si="2"/>
        <v>1</v>
      </c>
      <c r="W4" s="5">
        <f t="shared" ref="W4:W11" si="6">IF($C4="","",IF(AND(AD4&gt;6,AF4&gt;6,AG4&gt;6),1,0))</f>
        <v>0</v>
      </c>
      <c r="X4" s="5">
        <f t="shared" ref="X4:X11" si="7">IF($C4="","",IF(AND(AF4&gt;7,OR(AD4&gt;6,AG4&gt;6)),1,0))</f>
        <v>0</v>
      </c>
      <c r="Y4" s="5">
        <f t="shared" ref="Y4:Y11" si="8">IF($C4="","",IF(AND(AF4&gt;6,OR(AD4&gt;6,AG4&gt;6)),1,0))</f>
        <v>1</v>
      </c>
      <c r="Z4" s="5">
        <f t="shared" ref="Z4:Z11" si="9">IF($C4="","",IF(AND(OR(AD4&gt;6,AF4&gt;6),OR(AD4&gt;6,AG4&gt;6)),1,0))</f>
        <v>1</v>
      </c>
      <c r="AA4" s="5">
        <f t="shared" ref="AA4:AA11" si="10">IF($C4="","",IF(AND(AD4&gt;4,OR(AD4&gt;6,AF4&gt;6,AG4&gt;6)),1,0))</f>
        <v>1</v>
      </c>
      <c r="AB4" s="5">
        <f t="shared" ref="AB4:AB11" si="11">IF($C4="","",IF(AND(AD4&gt;4,OR(AD4&gt;6,AE4&gt;6,AF4&gt;6,AG4&gt;6)),1,0))</f>
        <v>1</v>
      </c>
      <c r="AC4" s="3">
        <f t="shared" ref="AC4:AC11" si="12">IF($C4="","",IF(AND(AD4&gt;4,MAX(AD4:AH4)&gt;6),1,0))</f>
        <v>1</v>
      </c>
      <c r="AD4" s="37">
        <f>IF($C4="","",VLOOKUP($C4,CTBat!$G$10:$BR$208,AD$1,FALSE))</f>
        <v>8</v>
      </c>
      <c r="AE4" s="37">
        <f>IF($C4="","",VLOOKUP($C4,CTBat!$G$10:$BR$208,AE$1,FALSE))</f>
        <v>7</v>
      </c>
      <c r="AF4" s="37">
        <f>IF($C4="","",VLOOKUP($C4,CTBat!$G$10:$BR$208,AF$1,FALSE))</f>
        <v>7</v>
      </c>
      <c r="AG4" s="37">
        <f>IF($C4="","",VLOOKUP($C4,CTBat!$G$10:$BR$208,AG$1,FALSE))</f>
        <v>6</v>
      </c>
      <c r="AH4" s="37">
        <f>IF($C4="","",VLOOKUP($C4,CTBat!$G$10:$BR$208,AH$1,FALSE))</f>
        <v>8</v>
      </c>
      <c r="AI4" s="58">
        <f>IF($C4="","",VLOOKUP($C4,CTBat!$G$10:$BR$208,AI$1,FALSE))</f>
        <v>7</v>
      </c>
      <c r="AJ4" s="38">
        <f>IF($C4="","",VLOOKUP($C4,CTBat!$G$10:$BR$208,AJ$1,FALSE))</f>
        <v>10</v>
      </c>
      <c r="AK4" s="67">
        <f t="shared" ref="AK4:AK11" si="13">IF($C4="","",(5*AD4+4*AF4+3*AG4+2*AE4+1*AH4+0.5*(AVERAGE(AD4:AE4))+0.5*AVERAGE(AD4,AH4)+1*(AVERAGE(AD4,AF4))+1*AVERAGE(AD4,AG4))/(5+4+3+2+1+0.5+0.5+1+1))</f>
        <v>7.2361111111111107</v>
      </c>
      <c r="AL4" s="53">
        <f t="shared" ref="AL4:AL11" si="14">IF($C4="","",IF(AND(OR(AU4+AX4&gt;12,AND(AU4&gt;6,AX4&gt;6)),AI4&gt;6,OR(AJ4&gt;=AI4,AJ4&gt;6)),1,0))</f>
        <v>1</v>
      </c>
      <c r="AM4" s="5">
        <f t="shared" ref="AM4:AM11" si="15">IF($C4="","",IF(OR(AND(AU4&gt;6,AY4&gt;6),AU4+AX4&gt;12),1,0))</f>
        <v>1</v>
      </c>
      <c r="AN4" s="5">
        <f t="shared" ref="AN4:AN11" si="16">IF($C4="","",IF(AND(AU4&gt;6,AW4&gt;6,AX4&gt;6),1,0))</f>
        <v>0</v>
      </c>
      <c r="AO4" s="5">
        <f t="shared" ref="AO4:AO11" si="17">IF($C4="","",IF(AND(AW4&gt;7,OR(AU4&gt;6,AX4&gt;6)),1,0))</f>
        <v>0</v>
      </c>
      <c r="AP4" s="5">
        <f t="shared" ref="AP4:AP11" si="18">IF($C4="","",IF(AND(AW4&gt;6,OR(AU4&gt;6,AX4&gt;6)),1,0))</f>
        <v>1</v>
      </c>
      <c r="AQ4" s="5">
        <f t="shared" ref="AQ4:AQ11" si="19">IF($C4="","",IF(AND(OR(AU4&gt;6,AW4&gt;6),OR(AU4&gt;6,AX4&gt;6)),1,0))</f>
        <v>1</v>
      </c>
      <c r="AR4" s="5">
        <f t="shared" ref="AR4:AR11" si="20">IF($C4="","",IF(AND(AU4&gt;4,OR(AU4&gt;6,AW4&gt;6,AX4&gt;6)),1,0))</f>
        <v>1</v>
      </c>
      <c r="AS4" s="5">
        <f t="shared" ref="AS4:AS11" si="21">IF($C4="","",IF(AND(AU4&gt;4,OR(AU4&gt;6,AV4&gt;6,AW4&gt;6,AX4&gt;6)),1,0))</f>
        <v>1</v>
      </c>
      <c r="AT4" s="3">
        <f t="shared" ref="AT4:AT11" si="22">IF($C4="","",IF(AND(AU4&gt;4,MAX(AU4:AY4)&gt;6),1,0))</f>
        <v>1</v>
      </c>
      <c r="AU4" s="58">
        <f>IF($C4="","",VLOOKUP($C4,CTBat!$G$10:$BR$208,AU$1,FALSE))</f>
        <v>8</v>
      </c>
      <c r="AV4" s="37">
        <f>IF($C4="","",VLOOKUP($C4,CTBat!$G$10:$BR$208,AV$1,FALSE))</f>
        <v>7</v>
      </c>
      <c r="AW4" s="37">
        <f>IF($C4="","",VLOOKUP($C4,CTBat!$G$10:$BR$208,AW$1,FALSE))</f>
        <v>7</v>
      </c>
      <c r="AX4" s="37">
        <f>IF($C4="","",VLOOKUP($C4,CTBat!$G$10:$BR$208,AX$1,FALSE))</f>
        <v>6</v>
      </c>
      <c r="AY4" s="38">
        <f>IF($C4="","",VLOOKUP($C4,CTBat!$G$10:$BR$208,AY$1,FALSE))</f>
        <v>8</v>
      </c>
      <c r="AZ4" s="67">
        <f t="shared" ref="AZ4:AZ11" si="23">IF($C4="","",(5*AU4+4*AW4+3*AX4+2*AV4+1*AY4+0.5*(AVERAGE(AU4:AV4))+0.5*AVERAGE(AU4,AY4)+1*(AVERAGE(AU4,AW4))+1*AVERAGE(AU4,AX4))/(5+4+3+2+1+0.5+0.5+1+1))</f>
        <v>7.2361111111111107</v>
      </c>
    </row>
    <row r="5" spans="1:52">
      <c r="A5">
        <v>3</v>
      </c>
      <c r="B5" s="36" t="s">
        <v>102</v>
      </c>
      <c r="C5" s="37" t="s">
        <v>494</v>
      </c>
      <c r="D5" s="37">
        <f>IF($C5="","",VLOOKUP($C5,CTBat!$G$10:$BR$208,D$1,FALSE))</f>
        <v>28</v>
      </c>
      <c r="E5" s="37" t="str">
        <f>IF($C5="","",VLOOKUP($C5,CTBat!$G$10:$BR$208,E$1,FALSE))</f>
        <v>L</v>
      </c>
      <c r="F5" s="53">
        <f t="shared" si="3"/>
        <v>0</v>
      </c>
      <c r="G5" s="5">
        <f t="shared" si="4"/>
        <v>0</v>
      </c>
      <c r="H5" s="5">
        <f t="shared" si="5"/>
        <v>1</v>
      </c>
      <c r="I5" s="5">
        <f t="shared" si="0"/>
        <v>1</v>
      </c>
      <c r="J5" s="58">
        <f>IF($C5="","",VLOOKUP($C5,CTBat!$G$10:$BR$208,J$1,FALSE))</f>
        <v>1</v>
      </c>
      <c r="K5" s="37">
        <f>IF($C5="","",VLOOKUP($C5,CTBat!$G$10:$BR$208,K$1,FALSE))</f>
        <v>1</v>
      </c>
      <c r="L5" s="38">
        <f>IF($C5="","",VLOOKUP($C5,CTBat!$G$10:$BR$208,L$1,FALSE))</f>
        <v>9</v>
      </c>
      <c r="M5" s="37" t="str">
        <f>IF($C5="","",VLOOKUP($C5,CTBat!$G$10:$BR$208,M$1,FALSE))</f>
        <v>-</v>
      </c>
      <c r="N5" s="37" t="str">
        <f>IF($C5="","",VLOOKUP($C5,CTBat!$G$10:$BR$208,N$1,FALSE))</f>
        <v>-</v>
      </c>
      <c r="O5" s="37" t="str">
        <f>IF($C5="","",VLOOKUP($C5,CTBat!$G$10:$BR$208,O$1,FALSE))</f>
        <v>-</v>
      </c>
      <c r="P5" s="37" t="str">
        <f>IF($C5="","",VLOOKUP($C5,CTBat!$G$10:$BR$208,P$1,FALSE))</f>
        <v>-</v>
      </c>
      <c r="Q5" s="37" t="str">
        <f>IF($C5="","",VLOOKUP($C5,CTBat!$G$10:$BR$208,Q$1,FALSE))</f>
        <v>-</v>
      </c>
      <c r="R5" s="37">
        <f>IF($C5="","",VLOOKUP($C5,CTBat!$G$10:$BR$208,R$1,FALSE))</f>
        <v>8</v>
      </c>
      <c r="S5" s="37">
        <f>IF($C5="","",VLOOKUP($C5,CTBat!$G$10:$BR$208,S$1,FALSE))</f>
        <v>10</v>
      </c>
      <c r="T5" s="38">
        <f>IF($C5="","",VLOOKUP($C5,CTBat!$G$10:$BR$208,T$1,FALSE))</f>
        <v>4</v>
      </c>
      <c r="U5" s="53">
        <f t="shared" si="1"/>
        <v>1</v>
      </c>
      <c r="V5" s="5">
        <f t="shared" ref="V5:V11" si="24">IF($C5="","",IF(OR(AND(AD5&gt;6,AH5&gt;6),AD5+AG5&gt;12),1,0))</f>
        <v>1</v>
      </c>
      <c r="W5" s="5">
        <f t="shared" si="6"/>
        <v>0</v>
      </c>
      <c r="X5" s="5">
        <f t="shared" si="7"/>
        <v>0</v>
      </c>
      <c r="Y5" s="5">
        <f t="shared" si="8"/>
        <v>0</v>
      </c>
      <c r="Z5" s="5">
        <f t="shared" si="9"/>
        <v>0</v>
      </c>
      <c r="AA5" s="5">
        <f t="shared" si="10"/>
        <v>1</v>
      </c>
      <c r="AB5" s="5">
        <f t="shared" si="11"/>
        <v>1</v>
      </c>
      <c r="AC5" s="3">
        <f t="shared" si="12"/>
        <v>1</v>
      </c>
      <c r="AD5" s="37">
        <f>IF($C5="","",VLOOKUP($C5,CTBat!$G$10:$BR$208,AD$1,FALSE))</f>
        <v>6</v>
      </c>
      <c r="AE5" s="37">
        <f>IF($C5="","",VLOOKUP($C5,CTBat!$G$10:$BR$208,AE$1,FALSE))</f>
        <v>7</v>
      </c>
      <c r="AF5" s="37">
        <f>IF($C5="","",VLOOKUP($C5,CTBat!$G$10:$BR$208,AF$1,FALSE))</f>
        <v>6</v>
      </c>
      <c r="AG5" s="37">
        <f>IF($C5="","",VLOOKUP($C5,CTBat!$G$10:$BR$208,AG$1,FALSE))</f>
        <v>8</v>
      </c>
      <c r="AH5" s="37">
        <f>IF($C5="","",VLOOKUP($C5,CTBat!$G$10:$BR$208,AH$1,FALSE))</f>
        <v>5</v>
      </c>
      <c r="AI5" s="58">
        <f>IF($C5="","",VLOOKUP($C5,CTBat!$G$10:$BR$208,AI$1,FALSE))</f>
        <v>10</v>
      </c>
      <c r="AJ5" s="38">
        <f>IF($C5="","",VLOOKUP($C5,CTBat!$G$10:$BR$208,AJ$1,FALSE))</f>
        <v>10</v>
      </c>
      <c r="AK5" s="67">
        <f t="shared" si="13"/>
        <v>6.4444444444444446</v>
      </c>
      <c r="AL5" s="53">
        <f t="shared" si="14"/>
        <v>1</v>
      </c>
      <c r="AM5" s="5">
        <f t="shared" si="15"/>
        <v>1</v>
      </c>
      <c r="AN5" s="5">
        <f t="shared" si="16"/>
        <v>0</v>
      </c>
      <c r="AO5" s="5">
        <f t="shared" si="17"/>
        <v>0</v>
      </c>
      <c r="AP5" s="5">
        <f t="shared" si="18"/>
        <v>0</v>
      </c>
      <c r="AQ5" s="5">
        <f t="shared" si="19"/>
        <v>0</v>
      </c>
      <c r="AR5" s="5">
        <f t="shared" si="20"/>
        <v>1</v>
      </c>
      <c r="AS5" s="5">
        <f t="shared" si="21"/>
        <v>1</v>
      </c>
      <c r="AT5" s="3">
        <f t="shared" si="22"/>
        <v>1</v>
      </c>
      <c r="AU5" s="58">
        <f>IF($C5="","",VLOOKUP($C5,CTBat!$G$10:$BR$208,AU$1,FALSE))</f>
        <v>6</v>
      </c>
      <c r="AV5" s="37">
        <f>IF($C5="","",VLOOKUP($C5,CTBat!$G$10:$BR$208,AV$1,FALSE))</f>
        <v>7</v>
      </c>
      <c r="AW5" s="37">
        <f>IF($C5="","",VLOOKUP($C5,CTBat!$G$10:$BR$208,AW$1,FALSE))</f>
        <v>6</v>
      </c>
      <c r="AX5" s="37">
        <f>IF($C5="","",VLOOKUP($C5,CTBat!$G$10:$BR$208,AX$1,FALSE))</f>
        <v>8</v>
      </c>
      <c r="AY5" s="38">
        <f>IF($C5="","",VLOOKUP($C5,CTBat!$G$10:$BR$208,AY$1,FALSE))</f>
        <v>5</v>
      </c>
      <c r="AZ5" s="67">
        <f t="shared" si="23"/>
        <v>6.4444444444444446</v>
      </c>
    </row>
    <row r="6" spans="1:52">
      <c r="A6">
        <v>4</v>
      </c>
      <c r="B6" s="36" t="s">
        <v>103</v>
      </c>
      <c r="C6" s="65" t="s">
        <v>395</v>
      </c>
      <c r="D6" s="37">
        <f>IF($C6="","",VLOOKUP($C6,CTBat!$G$10:$BR$208,D$1,FALSE))</f>
        <v>24</v>
      </c>
      <c r="E6" s="37" t="str">
        <f>IF($C6="","",VLOOKUP($C6,CTBat!$G$10:$BR$208,E$1,FALSE))</f>
        <v>L</v>
      </c>
      <c r="F6" s="53">
        <f t="shared" si="3"/>
        <v>0</v>
      </c>
      <c r="G6" s="5">
        <f t="shared" si="4"/>
        <v>0</v>
      </c>
      <c r="H6" s="5">
        <f t="shared" si="5"/>
        <v>1</v>
      </c>
      <c r="I6" s="5">
        <f t="shared" si="0"/>
        <v>1</v>
      </c>
      <c r="J6" s="58">
        <f>IF($C6="","",VLOOKUP($C6,CTBat!$G$10:$BR$208,J$1,FALSE))</f>
        <v>1</v>
      </c>
      <c r="K6" s="37">
        <f>IF($C6="","",VLOOKUP($C6,CTBat!$G$10:$BR$208,K$1,FALSE))</f>
        <v>1</v>
      </c>
      <c r="L6" s="38">
        <f>IF($C6="","",VLOOKUP($C6,CTBat!$G$10:$BR$208,L$1,FALSE))</f>
        <v>10</v>
      </c>
      <c r="M6" s="37" t="str">
        <f>IF($C6="","",VLOOKUP($C6,CTBat!$G$10:$BR$208,M$1,FALSE))</f>
        <v>-</v>
      </c>
      <c r="N6" s="37" t="str">
        <f>IF($C6="","",VLOOKUP($C6,CTBat!$G$10:$BR$208,N$1,FALSE))</f>
        <v>-</v>
      </c>
      <c r="O6" s="37" t="str">
        <f>IF($C6="","",VLOOKUP($C6,CTBat!$G$10:$BR$208,O$1,FALSE))</f>
        <v>-</v>
      </c>
      <c r="P6" s="37" t="str">
        <f>IF($C6="","",VLOOKUP($C6,CTBat!$G$10:$BR$208,P$1,FALSE))</f>
        <v>-</v>
      </c>
      <c r="Q6" s="37" t="str">
        <f>IF($C6="","",VLOOKUP($C6,CTBat!$G$10:$BR$208,Q$1,FALSE))</f>
        <v>-</v>
      </c>
      <c r="R6" s="37">
        <f>IF($C6="","",VLOOKUP($C6,CTBat!$G$10:$BR$208,R$1,FALSE))</f>
        <v>7</v>
      </c>
      <c r="S6" s="37">
        <f>IF($C6="","",VLOOKUP($C6,CTBat!$G$10:$BR$208,S$1,FALSE))</f>
        <v>9</v>
      </c>
      <c r="T6" s="38">
        <f>IF($C6="","",VLOOKUP($C6,CTBat!$G$10:$BR$208,T$1,FALSE))</f>
        <v>10</v>
      </c>
      <c r="U6" s="53">
        <f t="shared" si="1"/>
        <v>1</v>
      </c>
      <c r="V6" s="5">
        <f t="shared" si="24"/>
        <v>1</v>
      </c>
      <c r="W6" s="5">
        <f t="shared" si="6"/>
        <v>0</v>
      </c>
      <c r="X6" s="5">
        <f t="shared" si="7"/>
        <v>0</v>
      </c>
      <c r="Y6" s="5">
        <f t="shared" si="8"/>
        <v>0</v>
      </c>
      <c r="Z6" s="5">
        <f t="shared" si="9"/>
        <v>1</v>
      </c>
      <c r="AA6" s="5">
        <f t="shared" si="10"/>
        <v>1</v>
      </c>
      <c r="AB6" s="5">
        <f t="shared" si="11"/>
        <v>1</v>
      </c>
      <c r="AC6" s="3">
        <f t="shared" si="12"/>
        <v>1</v>
      </c>
      <c r="AD6" s="37">
        <f>IF($C6="","",VLOOKUP($C6,CTBat!$G$10:$BR$208,AD$1,FALSE))</f>
        <v>10</v>
      </c>
      <c r="AE6" s="37">
        <f>IF($C6="","",VLOOKUP($C6,CTBat!$G$10:$BR$208,AE$1,FALSE))</f>
        <v>7</v>
      </c>
      <c r="AF6" s="37">
        <f>IF($C6="","",VLOOKUP($C6,CTBat!$G$10:$BR$208,AF$1,FALSE))</f>
        <v>4</v>
      </c>
      <c r="AG6" s="37">
        <f>IF($C6="","",VLOOKUP($C6,CTBat!$G$10:$BR$208,AG$1,FALSE))</f>
        <v>6</v>
      </c>
      <c r="AH6" s="37">
        <f>IF($C6="","",VLOOKUP($C6,CTBat!$G$10:$BR$208,AH$1,FALSE))</f>
        <v>8</v>
      </c>
      <c r="AI6" s="58">
        <f>IF($C6="","",VLOOKUP($C6,CTBat!$G$10:$BR$208,AI$1,FALSE))</f>
        <v>7</v>
      </c>
      <c r="AJ6" s="38">
        <f>IF($C6="","",VLOOKUP($C6,CTBat!$G$10:$BR$208,AJ$1,FALSE))</f>
        <v>9</v>
      </c>
      <c r="AK6" s="67">
        <f t="shared" si="13"/>
        <v>7.208333333333333</v>
      </c>
      <c r="AL6" s="53">
        <f t="shared" si="14"/>
        <v>1</v>
      </c>
      <c r="AM6" s="5">
        <f t="shared" si="15"/>
        <v>1</v>
      </c>
      <c r="AN6" s="5">
        <f t="shared" si="16"/>
        <v>0</v>
      </c>
      <c r="AO6" s="5">
        <f t="shared" si="17"/>
        <v>0</v>
      </c>
      <c r="AP6" s="5">
        <f t="shared" si="18"/>
        <v>0</v>
      </c>
      <c r="AQ6" s="5">
        <f t="shared" si="19"/>
        <v>1</v>
      </c>
      <c r="AR6" s="5">
        <f t="shared" si="20"/>
        <v>1</v>
      </c>
      <c r="AS6" s="5">
        <f t="shared" si="21"/>
        <v>1</v>
      </c>
      <c r="AT6" s="3">
        <f t="shared" si="22"/>
        <v>1</v>
      </c>
      <c r="AU6" s="58">
        <f>IF($C6="","",VLOOKUP($C6,CTBat!$G$10:$BR$208,AU$1,FALSE))</f>
        <v>10</v>
      </c>
      <c r="AV6" s="37">
        <f>IF($C6="","",VLOOKUP($C6,CTBat!$G$10:$BR$208,AV$1,FALSE))</f>
        <v>7</v>
      </c>
      <c r="AW6" s="37">
        <f>IF($C6="","",VLOOKUP($C6,CTBat!$G$10:$BR$208,AW$1,FALSE))</f>
        <v>5</v>
      </c>
      <c r="AX6" s="37">
        <f>IF($C6="","",VLOOKUP($C6,CTBat!$G$10:$BR$208,AX$1,FALSE))</f>
        <v>6</v>
      </c>
      <c r="AY6" s="38">
        <f>IF($C6="","",VLOOKUP($C6,CTBat!$G$10:$BR$208,AY$1,FALSE))</f>
        <v>8</v>
      </c>
      <c r="AZ6" s="67">
        <f t="shared" si="23"/>
        <v>7.458333333333333</v>
      </c>
    </row>
    <row r="7" spans="1:52">
      <c r="A7">
        <v>5</v>
      </c>
      <c r="B7" s="36" t="s">
        <v>18</v>
      </c>
      <c r="C7" s="65" t="s">
        <v>592</v>
      </c>
      <c r="D7" s="37">
        <f>IF($C7="","",VLOOKUP($C7,CTBat!$G$10:$BR$208,D$1,FALSE))</f>
        <v>29</v>
      </c>
      <c r="E7" s="37" t="str">
        <f>IF($C7="","",VLOOKUP($C7,CTBat!$G$10:$BR$208,E$1,FALSE))</f>
        <v>L</v>
      </c>
      <c r="F7" s="53">
        <f t="shared" si="3"/>
        <v>0</v>
      </c>
      <c r="G7" s="5">
        <f t="shared" si="4"/>
        <v>0</v>
      </c>
      <c r="H7" s="5">
        <f t="shared" si="5"/>
        <v>1</v>
      </c>
      <c r="I7" s="5">
        <f t="shared" si="0"/>
        <v>0</v>
      </c>
      <c r="J7" s="58">
        <f>IF($C7="","",VLOOKUP($C7,CTBat!$G$10:$BR$208,J$1,FALSE))</f>
        <v>1</v>
      </c>
      <c r="K7" s="37">
        <f>IF($C7="","",VLOOKUP($C7,CTBat!$G$10:$BR$208,K$1,FALSE))</f>
        <v>1</v>
      </c>
      <c r="L7" s="38">
        <f>IF($C7="","",VLOOKUP($C7,CTBat!$G$10:$BR$208,L$1,FALSE))</f>
        <v>7</v>
      </c>
      <c r="M7" s="37" t="str">
        <f>IF($C7="","",VLOOKUP($C7,CTBat!$G$10:$BR$208,M$1,FALSE))</f>
        <v>-</v>
      </c>
      <c r="N7" s="37" t="str">
        <f>IF($C7="","",VLOOKUP($C7,CTBat!$G$10:$BR$208,N$1,FALSE))</f>
        <v>-</v>
      </c>
      <c r="O7" s="37" t="str">
        <f>IF($C7="","",VLOOKUP($C7,CTBat!$G$10:$BR$208,O$1,FALSE))</f>
        <v>-</v>
      </c>
      <c r="P7" s="37" t="str">
        <f>IF($C7="","",VLOOKUP($C7,CTBat!$G$10:$BR$208,P$1,FALSE))</f>
        <v>-</v>
      </c>
      <c r="Q7" s="37" t="str">
        <f>IF($C7="","",VLOOKUP($C7,CTBat!$G$10:$BR$208,Q$1,FALSE))</f>
        <v>-</v>
      </c>
      <c r="R7" s="37">
        <f>IF($C7="","",VLOOKUP($C7,CTBat!$G$10:$BR$208,R$1,FALSE))</f>
        <v>6</v>
      </c>
      <c r="S7" s="37" t="str">
        <f>IF($C7="","",VLOOKUP($C7,CTBat!$G$10:$BR$208,S$1,FALSE))</f>
        <v>-</v>
      </c>
      <c r="T7" s="38">
        <f>IF($C7="","",VLOOKUP($C7,CTBat!$G$10:$BR$208,T$1,FALSE))</f>
        <v>6</v>
      </c>
      <c r="U7" s="53">
        <f t="shared" si="1"/>
        <v>0</v>
      </c>
      <c r="V7" s="5">
        <f t="shared" si="24"/>
        <v>1</v>
      </c>
      <c r="W7" s="5">
        <f t="shared" si="6"/>
        <v>1</v>
      </c>
      <c r="X7" s="5">
        <f t="shared" si="7"/>
        <v>1</v>
      </c>
      <c r="Y7" s="5">
        <f t="shared" si="8"/>
        <v>1</v>
      </c>
      <c r="Z7" s="5">
        <f t="shared" si="9"/>
        <v>1</v>
      </c>
      <c r="AA7" s="5">
        <f t="shared" si="10"/>
        <v>1</v>
      </c>
      <c r="AB7" s="5">
        <f t="shared" si="11"/>
        <v>1</v>
      </c>
      <c r="AC7" s="3">
        <f t="shared" si="12"/>
        <v>1</v>
      </c>
      <c r="AD7" s="37">
        <f>IF($C7="","",VLOOKUP($C7,CTBat!$G$10:$BR$208,AD$1,FALSE))</f>
        <v>7</v>
      </c>
      <c r="AE7" s="37">
        <f>IF($C7="","",VLOOKUP($C7,CTBat!$G$10:$BR$208,AE$1,FALSE))</f>
        <v>10</v>
      </c>
      <c r="AF7" s="37">
        <f>IF($C7="","",VLOOKUP($C7,CTBat!$G$10:$BR$208,AF$1,FALSE))</f>
        <v>9</v>
      </c>
      <c r="AG7" s="37">
        <f>IF($C7="","",VLOOKUP($C7,CTBat!$G$10:$BR$208,AG$1,FALSE))</f>
        <v>7</v>
      </c>
      <c r="AH7" s="37">
        <f>IF($C7="","",VLOOKUP($C7,CTBat!$G$10:$BR$208,AH$1,FALSE))</f>
        <v>5</v>
      </c>
      <c r="AI7" s="58">
        <f>IF($C7="","",VLOOKUP($C7,CTBat!$G$10:$BR$208,AI$1,FALSE))</f>
        <v>6</v>
      </c>
      <c r="AJ7" s="38">
        <f>IF($C7="","",VLOOKUP($C7,CTBat!$G$10:$BR$208,AJ$1,FALSE))</f>
        <v>7</v>
      </c>
      <c r="AK7" s="67">
        <f t="shared" si="13"/>
        <v>7.7361111111111107</v>
      </c>
      <c r="AL7" s="53">
        <f t="shared" si="14"/>
        <v>0</v>
      </c>
      <c r="AM7" s="5">
        <f t="shared" si="15"/>
        <v>1</v>
      </c>
      <c r="AN7" s="5">
        <f t="shared" si="16"/>
        <v>1</v>
      </c>
      <c r="AO7" s="5">
        <f t="shared" si="17"/>
        <v>1</v>
      </c>
      <c r="AP7" s="5">
        <f t="shared" si="18"/>
        <v>1</v>
      </c>
      <c r="AQ7" s="5">
        <f t="shared" si="19"/>
        <v>1</v>
      </c>
      <c r="AR7" s="5">
        <f t="shared" si="20"/>
        <v>1</v>
      </c>
      <c r="AS7" s="5">
        <f t="shared" si="21"/>
        <v>1</v>
      </c>
      <c r="AT7" s="3">
        <f t="shared" si="22"/>
        <v>1</v>
      </c>
      <c r="AU7" s="58">
        <f>IF($C7="","",VLOOKUP($C7,CTBat!$G$10:$BR$208,AU$1,FALSE))</f>
        <v>7</v>
      </c>
      <c r="AV7" s="37">
        <f>IF($C7="","",VLOOKUP($C7,CTBat!$G$10:$BR$208,AV$1,FALSE))</f>
        <v>10</v>
      </c>
      <c r="AW7" s="37">
        <f>IF($C7="","",VLOOKUP($C7,CTBat!$G$10:$BR$208,AW$1,FALSE))</f>
        <v>9</v>
      </c>
      <c r="AX7" s="37">
        <f>IF($C7="","",VLOOKUP($C7,CTBat!$G$10:$BR$208,AX$1,FALSE))</f>
        <v>7</v>
      </c>
      <c r="AY7" s="38">
        <f>IF($C7="","",VLOOKUP($C7,CTBat!$G$10:$BR$208,AY$1,FALSE))</f>
        <v>5</v>
      </c>
      <c r="AZ7" s="67">
        <f t="shared" si="23"/>
        <v>7.7361111111111107</v>
      </c>
    </row>
    <row r="8" spans="1:52">
      <c r="A8">
        <v>6</v>
      </c>
      <c r="B8" s="36" t="s">
        <v>104</v>
      </c>
      <c r="C8" s="65" t="s">
        <v>472</v>
      </c>
      <c r="D8" s="37">
        <f>IF($C8="","",VLOOKUP($C8,CTBat!$G$10:$BR$208,D$1,FALSE))</f>
        <v>28</v>
      </c>
      <c r="E8" s="37" t="str">
        <f>IF($C8="","",VLOOKUP($C8,CTBat!$G$10:$BR$208,E$1,FALSE))</f>
        <v>R</v>
      </c>
      <c r="F8" s="53">
        <f t="shared" ref="F8" si="25">IF($C8="","",IF(AND(N8&gt;0,N8=SUM(M8:T8)),1,0))</f>
        <v>1</v>
      </c>
      <c r="G8" s="5">
        <f t="shared" ref="G8" si="26">IF($C8="","",IF(AND(OR(N8&gt;0,R8&gt;0),SUM(N8,R8)=SUM(M8:T8)),1,0))</f>
        <v>1</v>
      </c>
      <c r="H8" s="5">
        <f t="shared" si="5"/>
        <v>0</v>
      </c>
      <c r="I8" s="5">
        <f>IF($C8="","",IF(AND(S8&gt;4,S8&lt;&gt;"-"),1,0))</f>
        <v>0</v>
      </c>
      <c r="J8" s="58">
        <f>IF($C8="","",VLOOKUP($C8,CTBat!$G$10:$BR$208,J$1,FALSE))</f>
        <v>1</v>
      </c>
      <c r="K8" s="37">
        <f>IF($C8="","",VLOOKUP($C8,CTBat!$G$10:$BR$208,K$1,FALSE))</f>
        <v>3</v>
      </c>
      <c r="L8" s="38">
        <f>IF($C8="","",VLOOKUP($C8,CTBat!$G$10:$BR$208,L$1,FALSE))</f>
        <v>3</v>
      </c>
      <c r="M8" s="37" t="str">
        <f>IF($C8="","",VLOOKUP($C8,CTBat!$G$10:$BR$208,M$1,FALSE))</f>
        <v>-</v>
      </c>
      <c r="N8" s="37">
        <f>IF($C8="","",VLOOKUP($C8,CTBat!$G$10:$BR$208,N$1,FALSE))</f>
        <v>6</v>
      </c>
      <c r="O8" s="37" t="str">
        <f>IF($C8="","",VLOOKUP($C8,CTBat!$G$10:$BR$208,O$1,FALSE))</f>
        <v>-</v>
      </c>
      <c r="P8" s="37" t="str">
        <f>IF($C8="","",VLOOKUP($C8,CTBat!$G$10:$BR$208,P$1,FALSE))</f>
        <v>-</v>
      </c>
      <c r="Q8" s="37" t="str">
        <f>IF($C8="","",VLOOKUP($C8,CTBat!$G$10:$BR$208,Q$1,FALSE))</f>
        <v>-</v>
      </c>
      <c r="R8" s="37" t="str">
        <f>IF($C8="","",VLOOKUP($C8,CTBat!$G$10:$BR$208,R$1,FALSE))</f>
        <v>-</v>
      </c>
      <c r="S8" s="37" t="str">
        <f>IF($C8="","",VLOOKUP($C8,CTBat!$G$10:$BR$208,S$1,FALSE))</f>
        <v>-</v>
      </c>
      <c r="T8" s="38" t="str">
        <f>IF($C8="","",VLOOKUP($C8,CTBat!$G$10:$BR$208,T$1,FALSE))</f>
        <v>-</v>
      </c>
      <c r="U8" s="53">
        <f t="shared" si="1"/>
        <v>0</v>
      </c>
      <c r="V8" s="5">
        <f t="shared" si="24"/>
        <v>0</v>
      </c>
      <c r="W8" s="5">
        <f t="shared" si="6"/>
        <v>0</v>
      </c>
      <c r="X8" s="5">
        <f t="shared" si="7"/>
        <v>0</v>
      </c>
      <c r="Y8" s="5">
        <f t="shared" si="8"/>
        <v>0</v>
      </c>
      <c r="Z8" s="5">
        <f t="shared" si="9"/>
        <v>0</v>
      </c>
      <c r="AA8" s="5">
        <f t="shared" si="10"/>
        <v>1</v>
      </c>
      <c r="AB8" s="5">
        <f t="shared" si="11"/>
        <v>1</v>
      </c>
      <c r="AC8" s="3">
        <f t="shared" si="12"/>
        <v>1</v>
      </c>
      <c r="AD8" s="37">
        <f>IF($C8="","",VLOOKUP($C8,CTBat!$G$10:$BR$208,AD$1,FALSE))</f>
        <v>5</v>
      </c>
      <c r="AE8" s="37">
        <f>IF($C8="","",VLOOKUP($C8,CTBat!$G$10:$BR$208,AE$1,FALSE))</f>
        <v>9</v>
      </c>
      <c r="AF8" s="37">
        <f>IF($C8="","",VLOOKUP($C8,CTBat!$G$10:$BR$208,AF$1,FALSE))</f>
        <v>9</v>
      </c>
      <c r="AG8" s="37">
        <f>IF($C8="","",VLOOKUP($C8,CTBat!$G$10:$BR$208,AG$1,FALSE))</f>
        <v>6</v>
      </c>
      <c r="AH8" s="37">
        <f>IF($C8="","",VLOOKUP($C8,CTBat!$G$10:$BR$208,AH$1,FALSE))</f>
        <v>3</v>
      </c>
      <c r="AI8" s="58">
        <f>IF($C8="","",VLOOKUP($C8,CTBat!$G$10:$BR$208,AI$1,FALSE))</f>
        <v>1</v>
      </c>
      <c r="AJ8" s="38">
        <f>IF($C8="","",VLOOKUP($C8,CTBat!$G$10:$BR$208,AJ$1,FALSE))</f>
        <v>3</v>
      </c>
      <c r="AK8" s="67">
        <f t="shared" si="13"/>
        <v>6.5555555555555554</v>
      </c>
      <c r="AL8" s="53">
        <f t="shared" si="14"/>
        <v>0</v>
      </c>
      <c r="AM8" s="5">
        <f t="shared" si="15"/>
        <v>0</v>
      </c>
      <c r="AN8" s="5">
        <f t="shared" si="16"/>
        <v>0</v>
      </c>
      <c r="AO8" s="5">
        <f t="shared" si="17"/>
        <v>0</v>
      </c>
      <c r="AP8" s="5">
        <f t="shared" si="18"/>
        <v>0</v>
      </c>
      <c r="AQ8" s="5">
        <f t="shared" si="19"/>
        <v>0</v>
      </c>
      <c r="AR8" s="5">
        <f t="shared" si="20"/>
        <v>1</v>
      </c>
      <c r="AS8" s="5">
        <f t="shared" si="21"/>
        <v>1</v>
      </c>
      <c r="AT8" s="3">
        <f t="shared" si="22"/>
        <v>1</v>
      </c>
      <c r="AU8" s="58">
        <f>IF($C8="","",VLOOKUP($C8,CTBat!$G$10:$BR$208,AU$1,FALSE))</f>
        <v>5</v>
      </c>
      <c r="AV8" s="37">
        <f>IF($C8="","",VLOOKUP($C8,CTBat!$G$10:$BR$208,AV$1,FALSE))</f>
        <v>9</v>
      </c>
      <c r="AW8" s="37">
        <f>IF($C8="","",VLOOKUP($C8,CTBat!$G$10:$BR$208,AW$1,FALSE))</f>
        <v>9</v>
      </c>
      <c r="AX8" s="37">
        <f>IF($C8="","",VLOOKUP($C8,CTBat!$G$10:$BR$208,AX$1,FALSE))</f>
        <v>6</v>
      </c>
      <c r="AY8" s="38">
        <f>IF($C8="","",VLOOKUP($C8,CTBat!$G$10:$BR$208,AY$1,FALSE))</f>
        <v>3</v>
      </c>
      <c r="AZ8" s="67">
        <f t="shared" si="23"/>
        <v>6.5555555555555554</v>
      </c>
    </row>
    <row r="9" spans="1:52">
      <c r="A9">
        <v>7</v>
      </c>
      <c r="B9" s="36" t="s">
        <v>104</v>
      </c>
      <c r="C9" s="65" t="s">
        <v>53</v>
      </c>
      <c r="D9" s="37">
        <f>IF($C9="","",VLOOKUP($C9,CTBat!$G$10:$BR$208,D$1,FALSE))</f>
        <v>27</v>
      </c>
      <c r="E9" s="37" t="str">
        <f>IF($C9="","",VLOOKUP($C9,CTBat!$G$10:$BR$208,E$1,FALSE))</f>
        <v>R</v>
      </c>
      <c r="F9" s="53">
        <f t="shared" si="3"/>
        <v>0</v>
      </c>
      <c r="G9" s="5">
        <f t="shared" si="4"/>
        <v>0</v>
      </c>
      <c r="H9" s="5">
        <f t="shared" si="5"/>
        <v>0</v>
      </c>
      <c r="I9" s="5">
        <f t="shared" ref="I9:I11" si="27">IF($C9="","",IF(AND(S9&gt;4,S9&lt;&gt;"-"),1,0))</f>
        <v>0</v>
      </c>
      <c r="J9" s="58">
        <f>IF($C9="","",VLOOKUP($C9,CTBat!$G$10:$BR$208,J$1,FALSE))</f>
        <v>1</v>
      </c>
      <c r="K9" s="37">
        <f>IF($C9="","",VLOOKUP($C9,CTBat!$G$10:$BR$208,K$1,FALSE))</f>
        <v>1</v>
      </c>
      <c r="L9" s="38">
        <f>IF($C9="","",VLOOKUP($C9,CTBat!$G$10:$BR$208,L$1,FALSE))</f>
        <v>6</v>
      </c>
      <c r="M9" s="37" t="str">
        <f>IF($C9="","",VLOOKUP($C9,CTBat!$G$10:$BR$208,M$1,FALSE))</f>
        <v>-</v>
      </c>
      <c r="N9" s="37" t="str">
        <f>IF($C9="","",VLOOKUP($C9,CTBat!$G$10:$BR$208,N$1,FALSE))</f>
        <v>-</v>
      </c>
      <c r="O9" s="37" t="str">
        <f>IF($C9="","",VLOOKUP($C9,CTBat!$G$10:$BR$208,O$1,FALSE))</f>
        <v>-</v>
      </c>
      <c r="P9" s="37" t="str">
        <f>IF($C9="","",VLOOKUP($C9,CTBat!$G$10:$BR$208,P$1,FALSE))</f>
        <v>-</v>
      </c>
      <c r="Q9" s="37" t="str">
        <f>IF($C9="","",VLOOKUP($C9,CTBat!$G$10:$BR$208,Q$1,FALSE))</f>
        <v>-</v>
      </c>
      <c r="R9" s="37">
        <f>IF($C9="","",VLOOKUP($C9,CTBat!$G$10:$BR$208,R$1,FALSE))</f>
        <v>7</v>
      </c>
      <c r="S9" s="37" t="str">
        <f>IF($C9="","",VLOOKUP($C9,CTBat!$G$10:$BR$208,S$1,FALSE))</f>
        <v>-</v>
      </c>
      <c r="T9" s="38">
        <f>IF($C9="","",VLOOKUP($C9,CTBat!$G$10:$BR$208,T$1,FALSE))</f>
        <v>2</v>
      </c>
      <c r="U9" s="53">
        <f t="shared" si="1"/>
        <v>0</v>
      </c>
      <c r="V9" s="5">
        <f t="shared" si="24"/>
        <v>1</v>
      </c>
      <c r="W9" s="5">
        <f t="shared" si="6"/>
        <v>0</v>
      </c>
      <c r="X9" s="5">
        <f t="shared" si="7"/>
        <v>0</v>
      </c>
      <c r="Y9" s="5">
        <f t="shared" si="8"/>
        <v>0</v>
      </c>
      <c r="Z9" s="5">
        <f t="shared" si="9"/>
        <v>1</v>
      </c>
      <c r="AA9" s="5">
        <f t="shared" si="10"/>
        <v>1</v>
      </c>
      <c r="AB9" s="5">
        <f t="shared" si="11"/>
        <v>1</v>
      </c>
      <c r="AC9" s="3">
        <f t="shared" si="12"/>
        <v>1</v>
      </c>
      <c r="AD9" s="37">
        <f>IF($C9="","",VLOOKUP($C9,CTBat!$G$10:$BR$208,AD$1,FALSE))</f>
        <v>7</v>
      </c>
      <c r="AE9" s="37">
        <f>IF($C9="","",VLOOKUP($C9,CTBat!$G$10:$BR$208,AE$1,FALSE))</f>
        <v>6</v>
      </c>
      <c r="AF9" s="37">
        <f>IF($C9="","",VLOOKUP($C9,CTBat!$G$10:$BR$208,AF$1,FALSE))</f>
        <v>5</v>
      </c>
      <c r="AG9" s="37">
        <f>IF($C9="","",VLOOKUP($C9,CTBat!$G$10:$BR$208,AG$1,FALSE))</f>
        <v>6</v>
      </c>
      <c r="AH9" s="37">
        <f>IF($C9="","",VLOOKUP($C9,CTBat!$G$10:$BR$208,AH$1,FALSE))</f>
        <v>8</v>
      </c>
      <c r="AI9" s="58">
        <f>IF($C9="","",VLOOKUP($C9,CTBat!$G$10:$BR$208,AI$1,FALSE))</f>
        <v>4</v>
      </c>
      <c r="AJ9" s="38">
        <f>IF($C9="","",VLOOKUP($C9,CTBat!$G$10:$BR$208,AJ$1,FALSE))</f>
        <v>3</v>
      </c>
      <c r="AK9" s="67">
        <f t="shared" si="13"/>
        <v>6.25</v>
      </c>
      <c r="AL9" s="53">
        <f t="shared" si="14"/>
        <v>0</v>
      </c>
      <c r="AM9" s="5">
        <f t="shared" si="15"/>
        <v>1</v>
      </c>
      <c r="AN9" s="5">
        <f t="shared" si="16"/>
        <v>0</v>
      </c>
      <c r="AO9" s="5">
        <f t="shared" si="17"/>
        <v>0</v>
      </c>
      <c r="AP9" s="5">
        <f t="shared" si="18"/>
        <v>0</v>
      </c>
      <c r="AQ9" s="5">
        <f t="shared" si="19"/>
        <v>1</v>
      </c>
      <c r="AR9" s="5">
        <f t="shared" si="20"/>
        <v>1</v>
      </c>
      <c r="AS9" s="5">
        <f t="shared" si="21"/>
        <v>1</v>
      </c>
      <c r="AT9" s="3">
        <f t="shared" si="22"/>
        <v>1</v>
      </c>
      <c r="AU9" s="58">
        <f>IF($C9="","",VLOOKUP($C9,CTBat!$G$10:$BR$208,AU$1,FALSE))</f>
        <v>7</v>
      </c>
      <c r="AV9" s="37">
        <f>IF($C9="","",VLOOKUP($C9,CTBat!$G$10:$BR$208,AV$1,FALSE))</f>
        <v>6</v>
      </c>
      <c r="AW9" s="37">
        <f>IF($C9="","",VLOOKUP($C9,CTBat!$G$10:$BR$208,AW$1,FALSE))</f>
        <v>5</v>
      </c>
      <c r="AX9" s="37">
        <f>IF($C9="","",VLOOKUP($C9,CTBat!$G$10:$BR$208,AX$1,FALSE))</f>
        <v>6</v>
      </c>
      <c r="AY9" s="38">
        <f>IF($C9="","",VLOOKUP($C9,CTBat!$G$10:$BR$208,AY$1,FALSE))</f>
        <v>8</v>
      </c>
      <c r="AZ9" s="67">
        <f t="shared" si="23"/>
        <v>6.25</v>
      </c>
    </row>
    <row r="10" spans="1:52">
      <c r="A10">
        <v>8</v>
      </c>
      <c r="B10" s="36" t="s">
        <v>104</v>
      </c>
      <c r="C10" s="65" t="s">
        <v>248</v>
      </c>
      <c r="D10" s="37">
        <f>IF($C10="","",VLOOKUP($C10,CTBat!$G$10:$BR$208,D$1,FALSE))</f>
        <v>26</v>
      </c>
      <c r="E10" s="37" t="str">
        <f>IF($C10="","",VLOOKUP($C10,CTBat!$G$10:$BR$208,E$1,FALSE))</f>
        <v>L</v>
      </c>
      <c r="F10" s="53">
        <f t="shared" ref="F10" si="28">IF($C10="","",IF(AND(N10&gt;0,N10=SUM(M10:T10)),1,0))</f>
        <v>0</v>
      </c>
      <c r="G10" s="5">
        <f t="shared" ref="G10" si="29">IF($C10="","",IF(AND(OR(N10&gt;0,R10&gt;0),SUM(N10,R10)=SUM(M10:T10)),1,0))</f>
        <v>0</v>
      </c>
      <c r="H10" s="5">
        <f t="shared" ref="H10" si="30">IF($C10="","",IF(L10&gt;6,1,0))</f>
        <v>0</v>
      </c>
      <c r="I10" s="5">
        <f t="shared" si="27"/>
        <v>0</v>
      </c>
      <c r="J10" s="58">
        <f>IF($C10="","",VLOOKUP($C10,CTBat!$G$10:$BR$208,J$1,FALSE))</f>
        <v>1</v>
      </c>
      <c r="K10" s="37">
        <f>IF($C10="","",VLOOKUP($C10,CTBat!$G$10:$BR$208,K$1,FALSE))</f>
        <v>1</v>
      </c>
      <c r="L10" s="38">
        <f>IF($C10="","",VLOOKUP($C10,CTBat!$G$10:$BR$208,L$1,FALSE))</f>
        <v>6</v>
      </c>
      <c r="M10" s="37" t="str">
        <f>IF($C10="","",VLOOKUP($C10,CTBat!$G$10:$BR$208,M$1,FALSE))</f>
        <v>-</v>
      </c>
      <c r="N10" s="37" t="str">
        <f>IF($C10="","",VLOOKUP($C10,CTBat!$G$10:$BR$208,N$1,FALSE))</f>
        <v>-</v>
      </c>
      <c r="O10" s="37" t="str">
        <f>IF($C10="","",VLOOKUP($C10,CTBat!$G$10:$BR$208,O$1,FALSE))</f>
        <v>-</v>
      </c>
      <c r="P10" s="37" t="str">
        <f>IF($C10="","",VLOOKUP($C10,CTBat!$G$10:$BR$208,P$1,FALSE))</f>
        <v>-</v>
      </c>
      <c r="Q10" s="37" t="str">
        <f>IF($C10="","",VLOOKUP($C10,CTBat!$G$10:$BR$208,Q$1,FALSE))</f>
        <v>-</v>
      </c>
      <c r="R10" s="37">
        <f>IF($C10="","",VLOOKUP($C10,CTBat!$G$10:$BR$208,R$1,FALSE))</f>
        <v>8</v>
      </c>
      <c r="S10" s="37">
        <f>IF($C10="","",VLOOKUP($C10,CTBat!$G$10:$BR$208,S$1,FALSE))</f>
        <v>4</v>
      </c>
      <c r="T10" s="38">
        <f>IF($C10="","",VLOOKUP($C10,CTBat!$G$10:$BR$208,T$1,FALSE))</f>
        <v>5</v>
      </c>
      <c r="U10" s="53">
        <f t="shared" si="1"/>
        <v>0</v>
      </c>
      <c r="V10" s="5">
        <f t="shared" si="24"/>
        <v>1</v>
      </c>
      <c r="W10" s="5">
        <f t="shared" ref="W10" si="31">IF($C10="","",IF(AND(AD10&gt;6,AF10&gt;6,AG10&gt;6),1,0))</f>
        <v>0</v>
      </c>
      <c r="X10" s="5">
        <f t="shared" si="7"/>
        <v>0</v>
      </c>
      <c r="Y10" s="5">
        <f t="shared" si="8"/>
        <v>0</v>
      </c>
      <c r="Z10" s="5">
        <f t="shared" si="9"/>
        <v>0</v>
      </c>
      <c r="AA10" s="5">
        <f t="shared" si="10"/>
        <v>1</v>
      </c>
      <c r="AB10" s="5">
        <f t="shared" si="11"/>
        <v>1</v>
      </c>
      <c r="AC10" s="3">
        <f t="shared" si="12"/>
        <v>1</v>
      </c>
      <c r="AD10" s="37">
        <f>IF($C10="","",VLOOKUP($C10,CTBat!$G$10:$BR$208,AD$1,FALSE))</f>
        <v>6</v>
      </c>
      <c r="AE10" s="37">
        <f>IF($C10="","",VLOOKUP($C10,CTBat!$G$10:$BR$208,AE$1,FALSE))</f>
        <v>5</v>
      </c>
      <c r="AF10" s="37">
        <f>IF($C10="","",VLOOKUP($C10,CTBat!$G$10:$BR$208,AF$1,FALSE))</f>
        <v>6</v>
      </c>
      <c r="AG10" s="37">
        <f>IF($C10="","",VLOOKUP($C10,CTBat!$G$10:$BR$208,AG$1,FALSE))</f>
        <v>7</v>
      </c>
      <c r="AH10" s="37">
        <f>IF($C10="","",VLOOKUP($C10,CTBat!$G$10:$BR$208,AH$1,FALSE))</f>
        <v>5</v>
      </c>
      <c r="AI10" s="58">
        <f>IF($C10="","",VLOOKUP($C10,CTBat!$G$10:$BR$208,AI$1,FALSE))</f>
        <v>6</v>
      </c>
      <c r="AJ10" s="38">
        <f>IF($C10="","",VLOOKUP($C10,CTBat!$G$10:$BR$208,AJ$1,FALSE))</f>
        <v>8</v>
      </c>
      <c r="AK10" s="67">
        <f t="shared" si="13"/>
        <v>6</v>
      </c>
      <c r="AL10" s="53">
        <f t="shared" si="14"/>
        <v>0</v>
      </c>
      <c r="AM10" s="5">
        <f t="shared" si="15"/>
        <v>1</v>
      </c>
      <c r="AN10" s="5">
        <f t="shared" si="16"/>
        <v>0</v>
      </c>
      <c r="AO10" s="5">
        <f t="shared" si="17"/>
        <v>0</v>
      </c>
      <c r="AP10" s="5">
        <f t="shared" si="18"/>
        <v>0</v>
      </c>
      <c r="AQ10" s="5">
        <f t="shared" si="19"/>
        <v>0</v>
      </c>
      <c r="AR10" s="5">
        <f t="shared" si="20"/>
        <v>1</v>
      </c>
      <c r="AS10" s="5">
        <f t="shared" si="21"/>
        <v>1</v>
      </c>
      <c r="AT10" s="3">
        <f t="shared" si="22"/>
        <v>1</v>
      </c>
      <c r="AU10" s="58">
        <f>IF($C10="","",VLOOKUP($C10,CTBat!$G$10:$BR$208,AU$1,FALSE))</f>
        <v>6</v>
      </c>
      <c r="AV10" s="37">
        <f>IF($C10="","",VLOOKUP($C10,CTBat!$G$10:$BR$208,AV$1,FALSE))</f>
        <v>5</v>
      </c>
      <c r="AW10" s="37">
        <f>IF($C10="","",VLOOKUP($C10,CTBat!$G$10:$BR$208,AW$1,FALSE))</f>
        <v>6</v>
      </c>
      <c r="AX10" s="37">
        <f>IF($C10="","",VLOOKUP($C10,CTBat!$G$10:$BR$208,AX$1,FALSE))</f>
        <v>7</v>
      </c>
      <c r="AY10" s="38">
        <f>IF($C10="","",VLOOKUP($C10,CTBat!$G$10:$BR$208,AY$1,FALSE))</f>
        <v>6</v>
      </c>
      <c r="AZ10" s="67">
        <f t="shared" si="23"/>
        <v>6.0694444444444446</v>
      </c>
    </row>
    <row r="11" spans="1:52">
      <c r="A11">
        <v>9</v>
      </c>
      <c r="B11" s="39" t="s">
        <v>104</v>
      </c>
      <c r="C11" s="40"/>
      <c r="D11" s="40" t="str">
        <f>IF($C11="","",VLOOKUP($C11,CTBat!$G$10:$BR$208,D$1,FALSE))</f>
        <v/>
      </c>
      <c r="E11" s="40" t="str">
        <f>IF($C11="","",VLOOKUP($C11,CTBat!$G$10:$BR$208,E$1,FALSE))</f>
        <v/>
      </c>
      <c r="F11" s="54" t="str">
        <f t="shared" si="3"/>
        <v/>
      </c>
      <c r="G11" s="41" t="str">
        <f t="shared" si="4"/>
        <v/>
      </c>
      <c r="H11" s="41" t="str">
        <f t="shared" si="5"/>
        <v/>
      </c>
      <c r="I11" s="41" t="str">
        <f t="shared" si="27"/>
        <v/>
      </c>
      <c r="J11" s="59" t="str">
        <f>IF($C11="","",VLOOKUP($C11,CTBat!$G$10:$BR$208,J$1,FALSE))</f>
        <v/>
      </c>
      <c r="K11" s="40" t="str">
        <f>IF($C11="","",VLOOKUP($C11,CTBat!$G$10:$BR$208,K$1,FALSE))</f>
        <v/>
      </c>
      <c r="L11" s="42" t="str">
        <f>IF($C11="","",VLOOKUP($C11,CTBat!$G$10:$BR$208,L$1,FALSE))</f>
        <v/>
      </c>
      <c r="M11" s="40" t="str">
        <f>IF($C11="","",VLOOKUP($C11,CTBat!$G$10:$BR$208,M$1,FALSE))</f>
        <v/>
      </c>
      <c r="N11" s="40" t="str">
        <f>IF($C11="","",VLOOKUP($C11,CTBat!$G$10:$BR$208,N$1,FALSE))</f>
        <v/>
      </c>
      <c r="O11" s="40" t="str">
        <f>IF($C11="","",VLOOKUP($C11,CTBat!$G$10:$BR$208,O$1,FALSE))</f>
        <v/>
      </c>
      <c r="P11" s="40" t="str">
        <f>IF($C11="","",VLOOKUP($C11,CTBat!$G$10:$BR$208,P$1,FALSE))</f>
        <v/>
      </c>
      <c r="Q11" s="40" t="str">
        <f>IF($C11="","",VLOOKUP($C11,CTBat!$G$10:$BR$208,Q$1,FALSE))</f>
        <v/>
      </c>
      <c r="R11" s="40" t="str">
        <f>IF($C11="","",VLOOKUP($C11,CTBat!$G$10:$BR$208,R$1,FALSE))</f>
        <v/>
      </c>
      <c r="S11" s="40" t="str">
        <f>IF($C11="","",VLOOKUP($C11,CTBat!$G$10:$BR$208,S$1,FALSE))</f>
        <v/>
      </c>
      <c r="T11" s="42" t="str">
        <f>IF($C11="","",VLOOKUP($C11,CTBat!$G$10:$BR$208,T$1,FALSE))</f>
        <v/>
      </c>
      <c r="U11" s="54" t="str">
        <f t="shared" si="1"/>
        <v/>
      </c>
      <c r="V11" s="41" t="str">
        <f t="shared" si="24"/>
        <v/>
      </c>
      <c r="W11" s="41" t="str">
        <f t="shared" si="6"/>
        <v/>
      </c>
      <c r="X11" s="41" t="str">
        <f t="shared" si="7"/>
        <v/>
      </c>
      <c r="Y11" s="41" t="str">
        <f t="shared" si="8"/>
        <v/>
      </c>
      <c r="Z11" s="41" t="str">
        <f t="shared" si="9"/>
        <v/>
      </c>
      <c r="AA11" s="41" t="str">
        <f t="shared" si="10"/>
        <v/>
      </c>
      <c r="AB11" s="41" t="str">
        <f t="shared" si="11"/>
        <v/>
      </c>
      <c r="AC11" s="62" t="str">
        <f t="shared" si="12"/>
        <v/>
      </c>
      <c r="AD11" s="40" t="str">
        <f>IF($C11="","",VLOOKUP($C11,CTBat!$G$10:$BR$208,AD$1,FALSE))</f>
        <v/>
      </c>
      <c r="AE11" s="40" t="str">
        <f>IF($C11="","",VLOOKUP($C11,CTBat!$G$10:$BR$208,AE$1,FALSE))</f>
        <v/>
      </c>
      <c r="AF11" s="40" t="str">
        <f>IF($C11="","",VLOOKUP($C11,CTBat!$G$10:$BR$208,AF$1,FALSE))</f>
        <v/>
      </c>
      <c r="AG11" s="40" t="str">
        <f>IF($C11="","",VLOOKUP($C11,CTBat!$G$10:$BR$208,AG$1,FALSE))</f>
        <v/>
      </c>
      <c r="AH11" s="40" t="str">
        <f>IF($C11="","",VLOOKUP($C11,CTBat!$G$10:$BR$208,AH$1,FALSE))</f>
        <v/>
      </c>
      <c r="AI11" s="59" t="str">
        <f>IF($C11="","",VLOOKUP($C11,CTBat!$G$10:$BR$208,AI$1,FALSE))</f>
        <v/>
      </c>
      <c r="AJ11" s="42" t="str">
        <f>IF($C11="","",VLOOKUP($C11,CTBat!$G$10:$BR$208,AJ$1,FALSE))</f>
        <v/>
      </c>
      <c r="AK11" s="68" t="str">
        <f t="shared" si="13"/>
        <v/>
      </c>
      <c r="AL11" s="54" t="str">
        <f t="shared" si="14"/>
        <v/>
      </c>
      <c r="AM11" s="41" t="str">
        <f t="shared" si="15"/>
        <v/>
      </c>
      <c r="AN11" s="41" t="str">
        <f t="shared" si="16"/>
        <v/>
      </c>
      <c r="AO11" s="41" t="str">
        <f t="shared" si="17"/>
        <v/>
      </c>
      <c r="AP11" s="41" t="str">
        <f t="shared" si="18"/>
        <v/>
      </c>
      <c r="AQ11" s="41" t="str">
        <f t="shared" si="19"/>
        <v/>
      </c>
      <c r="AR11" s="41" t="str">
        <f t="shared" si="20"/>
        <v/>
      </c>
      <c r="AS11" s="41" t="str">
        <f t="shared" si="21"/>
        <v/>
      </c>
      <c r="AT11" s="62" t="str">
        <f t="shared" si="22"/>
        <v/>
      </c>
      <c r="AU11" s="59" t="str">
        <f>IF($C11="","",VLOOKUP($C11,CTBat!$G$10:$BR$208,AU$1,FALSE))</f>
        <v/>
      </c>
      <c r="AV11" s="40" t="str">
        <f>IF($C11="","",VLOOKUP($C11,CTBat!$G$10:$BR$208,AV$1,FALSE))</f>
        <v/>
      </c>
      <c r="AW11" s="40" t="str">
        <f>IF($C11="","",VLOOKUP($C11,CTBat!$G$10:$BR$208,AW$1,FALSE))</f>
        <v/>
      </c>
      <c r="AX11" s="40" t="str">
        <f>IF($C11="","",VLOOKUP($C11,CTBat!$G$10:$BR$208,AX$1,FALSE))</f>
        <v/>
      </c>
      <c r="AY11" s="42" t="str">
        <f>IF($C11="","",VLOOKUP($C11,CTBat!$G$10:$BR$208,AY$1,FALSE))</f>
        <v/>
      </c>
      <c r="AZ11" s="68" t="str">
        <f t="shared" si="23"/>
        <v/>
      </c>
    </row>
    <row r="13" spans="1:52" s="24" customFormat="1" ht="196.5">
      <c r="A13" s="25" t="s">
        <v>196</v>
      </c>
      <c r="B13" s="43" t="s">
        <v>128</v>
      </c>
      <c r="C13" s="44" t="str">
        <f>"Player ("&amp;COUNTA(C14:C19)&amp;")"</f>
        <v>Player (4)</v>
      </c>
      <c r="D13" s="44" t="s">
        <v>94</v>
      </c>
      <c r="E13" s="44" t="s">
        <v>104</v>
      </c>
      <c r="F13" s="51" t="str">
        <f>"Only 1 guy who only plays 2B ("&amp;SUM(F14:F19)&amp;")"</f>
        <v>Only 1 guy who only plays 2B (0)</v>
      </c>
      <c r="G13" s="46" t="str">
        <f>"2 Guys Who Play SS ("&amp;SUM(G14:G19)&amp;")"</f>
        <v>2 Guys Who Play SS (4)</v>
      </c>
      <c r="H13" s="46" t="str">
        <f>"2 guys with 3B arm ("&amp;SUM(H14:H19)&amp;")"</f>
        <v>2 guys with 3B arm (3)</v>
      </c>
      <c r="I13" s="49" t="s">
        <v>41</v>
      </c>
      <c r="J13" s="47" t="s">
        <v>139</v>
      </c>
      <c r="K13" s="47" t="s">
        <v>137</v>
      </c>
      <c r="L13" s="47" t="s">
        <v>138</v>
      </c>
      <c r="M13" s="63" t="s">
        <v>95</v>
      </c>
      <c r="N13" s="48" t="s">
        <v>97</v>
      </c>
      <c r="O13" s="48" t="s">
        <v>98</v>
      </c>
      <c r="P13" s="48" t="s">
        <v>99</v>
      </c>
      <c r="Q13" s="48" t="s">
        <v>100</v>
      </c>
      <c r="R13" s="48" t="s">
        <v>101</v>
      </c>
      <c r="S13" s="48" t="s">
        <v>102</v>
      </c>
      <c r="T13" s="49" t="s">
        <v>103</v>
      </c>
      <c r="U13" s="45" t="s">
        <v>140</v>
      </c>
      <c r="V13" s="45" t="s">
        <v>184</v>
      </c>
      <c r="W13" s="45" t="s">
        <v>141</v>
      </c>
      <c r="X13" s="45" t="s">
        <v>142</v>
      </c>
      <c r="Y13" s="45" t="s">
        <v>143</v>
      </c>
      <c r="Z13" s="45" t="s">
        <v>144</v>
      </c>
      <c r="AA13" s="45" t="s">
        <v>145</v>
      </c>
      <c r="AB13" s="45" t="s">
        <v>147</v>
      </c>
      <c r="AC13" s="45" t="s">
        <v>146</v>
      </c>
      <c r="AD13" s="63" t="s">
        <v>150</v>
      </c>
      <c r="AE13" s="48" t="s">
        <v>151</v>
      </c>
      <c r="AF13" s="48" t="s">
        <v>152</v>
      </c>
      <c r="AG13" s="48" t="s">
        <v>153</v>
      </c>
      <c r="AH13" s="48" t="s">
        <v>29</v>
      </c>
      <c r="AI13" s="48" t="s">
        <v>154</v>
      </c>
      <c r="AJ13" s="49" t="s">
        <v>155</v>
      </c>
      <c r="AK13" s="66" t="s">
        <v>160</v>
      </c>
      <c r="AL13" s="45" t="s">
        <v>140</v>
      </c>
      <c r="AM13" s="45" t="s">
        <v>184</v>
      </c>
      <c r="AN13" s="45" t="s">
        <v>141</v>
      </c>
      <c r="AO13" s="45" t="s">
        <v>142</v>
      </c>
      <c r="AP13" s="45" t="s">
        <v>143</v>
      </c>
      <c r="AQ13" s="45" t="s">
        <v>144</v>
      </c>
      <c r="AR13" s="45" t="s">
        <v>145</v>
      </c>
      <c r="AS13" s="45" t="s">
        <v>147</v>
      </c>
      <c r="AT13" s="45" t="s">
        <v>146</v>
      </c>
      <c r="AU13" s="63" t="s">
        <v>150</v>
      </c>
      <c r="AV13" s="48" t="s">
        <v>151</v>
      </c>
      <c r="AW13" s="48" t="s">
        <v>152</v>
      </c>
      <c r="AX13" s="48" t="s">
        <v>153</v>
      </c>
      <c r="AY13" s="49" t="s">
        <v>29</v>
      </c>
      <c r="AZ13" s="66" t="s">
        <v>201</v>
      </c>
    </row>
    <row r="14" spans="1:52">
      <c r="A14">
        <v>1</v>
      </c>
      <c r="B14" s="36" t="s">
        <v>98</v>
      </c>
      <c r="C14" s="37" t="s">
        <v>51</v>
      </c>
      <c r="D14" s="37">
        <f>IF($C14="","",VLOOKUP($C14,CTBat!$G$10:$BR$208,D$1,FALSE))</f>
        <v>28</v>
      </c>
      <c r="E14" s="33" t="str">
        <f>IF($C14="","",VLOOKUP($C14,CTBat!$G$10:$BR$208,E$1,FALSE))</f>
        <v>R</v>
      </c>
      <c r="F14" s="53">
        <f>IF($C14="","",IF(AND(O14&gt;0,O14=SUM(M14:T14)),1,0))</f>
        <v>0</v>
      </c>
      <c r="G14" s="5">
        <f t="shared" ref="G14:G18" si="32">IF($C14="","",IF(Q14&lt;&gt;"-",1,0))</f>
        <v>1</v>
      </c>
      <c r="H14" s="5">
        <f>IF($C14="","",IF(AND(K14&gt;5,P14&lt;&gt;"-"),1,0))</f>
        <v>0</v>
      </c>
      <c r="I14" s="3" t="str">
        <f>IF($C14="","","-")</f>
        <v>-</v>
      </c>
      <c r="J14" s="37">
        <f>IF($C14="","",VLOOKUP($C14,CTBat!$G$10:$BR$208,J$1,FALSE))</f>
        <v>1</v>
      </c>
      <c r="K14" s="37">
        <f>IF($C14="","",VLOOKUP($C14,CTBat!$G$10:$BR$208,K$1,FALSE))</f>
        <v>5</v>
      </c>
      <c r="L14" s="37">
        <f>IF($C14="","",VLOOKUP($C14,CTBat!$G$10:$BR$208,L$1,FALSE))</f>
        <v>3</v>
      </c>
      <c r="M14" s="58" t="str">
        <f>IF($C14="","",VLOOKUP($C14,CTBat!$G$10:$BR$208,M$1,FALSE))</f>
        <v>-</v>
      </c>
      <c r="N14" s="37">
        <f>IF($C14="","",VLOOKUP($C14,CTBat!$G$10:$BR$208,N$1,FALSE))</f>
        <v>8</v>
      </c>
      <c r="O14" s="37">
        <f>IF($C14="","",VLOOKUP($C14,CTBat!$G$10:$BR$208,O$1,FALSE))</f>
        <v>7</v>
      </c>
      <c r="P14" s="37">
        <f>IF($C14="","",VLOOKUP($C14,CTBat!$G$10:$BR$208,P$1,FALSE))</f>
        <v>4</v>
      </c>
      <c r="Q14" s="37">
        <f>IF($C14="","",VLOOKUP($C14,CTBat!$G$10:$BR$208,Q$1,FALSE))</f>
        <v>2</v>
      </c>
      <c r="R14" s="37" t="str">
        <f>IF($C14="","",VLOOKUP($C14,CTBat!$G$10:$BR$208,R$1,FALSE))</f>
        <v>-</v>
      </c>
      <c r="S14" s="37" t="str">
        <f>IF($C14="","",VLOOKUP($C14,CTBat!$G$10:$BR$208,S$1,FALSE))</f>
        <v>-</v>
      </c>
      <c r="T14" s="38" t="str">
        <f>IF($C14="","",VLOOKUP($C14,CTBat!$G$10:$BR$208,T$1,FALSE))</f>
        <v>-</v>
      </c>
      <c r="U14" s="5">
        <f t="shared" ref="U14:U15" si="33">IF($C14="","",IF(OR(AD14+AG14&gt;14,AND(OR(AD14+AG14&gt;12,AND(AD14&gt;6,AG14&gt;6)),AI14&gt;6,OR(AJ14&gt;=AI14,AJ14&gt;6))),1,0))</f>
        <v>0</v>
      </c>
      <c r="V14" s="5">
        <f t="shared" ref="V14:V19" si="34">IF($C14="","",IF(OR(AND(AD14&gt;6,AH14&gt;6),AD14+AG14&gt;12),1,0))</f>
        <v>1</v>
      </c>
      <c r="W14" s="5">
        <f>IF($C14="","",IF(AND(AD14&gt;6,AF14&gt;6,AG14&gt;6),1,0))</f>
        <v>0</v>
      </c>
      <c r="X14" s="5">
        <f t="shared" ref="X14:X19" si="35">IF($C14="","",IF(AND(AF14&gt;7,OR(AD14&gt;6,AG14&gt;6)),1,0))</f>
        <v>0</v>
      </c>
      <c r="Y14" s="5">
        <f t="shared" ref="Y14:Y19" si="36">IF($C14="","",IF(AND(AF14&gt;6,OR(AD14&gt;6,AG14&gt;6)),1,0))</f>
        <v>0</v>
      </c>
      <c r="Z14" s="5">
        <f t="shared" ref="Z14:Z19" si="37">IF($C14="","",IF(AND(OR(AD14&gt;6,AF14&gt;6),OR(AD14&gt;6,AG14&gt;6)),1,0))</f>
        <v>1</v>
      </c>
      <c r="AA14" s="5">
        <f t="shared" ref="AA14:AA19" si="38">IF($C14="","",IF(AND(AD14&gt;4,OR(AD14&gt;6,AF14&gt;6,AG14&gt;6)),1,0))</f>
        <v>1</v>
      </c>
      <c r="AB14" s="5">
        <f t="shared" ref="AB14:AB19" si="39">IF($C14="","",IF(AND(AD14&gt;4,OR(AD14&gt;6,AE14&gt;6,AF14&gt;6,AG14&gt;6)),1,0))</f>
        <v>1</v>
      </c>
      <c r="AC14" s="5">
        <f t="shared" ref="AC14:AC19" si="40">IF($C14="","",IF(AND(AD14&gt;4,MAX(AD14:AH14)&gt;6),1,0))</f>
        <v>1</v>
      </c>
      <c r="AD14" s="58">
        <f>IF($C14="","",VLOOKUP($C14,CTBat!$G$10:$BR$208,AD$1,FALSE))</f>
        <v>7</v>
      </c>
      <c r="AE14" s="37">
        <f>IF($C14="","",VLOOKUP($C14,CTBat!$G$10:$BR$208,AE$1,FALSE))</f>
        <v>6</v>
      </c>
      <c r="AF14" s="37">
        <f>IF($C14="","",VLOOKUP($C14,CTBat!$G$10:$BR$208,AF$1,FALSE))</f>
        <v>5</v>
      </c>
      <c r="AG14" s="37">
        <f>IF($C14="","",VLOOKUP($C14,CTBat!$G$10:$BR$208,AG$1,FALSE))</f>
        <v>7</v>
      </c>
      <c r="AH14" s="37">
        <f>IF($C14="","",VLOOKUP($C14,CTBat!$G$10:$BR$208,AH$1,FALSE))</f>
        <v>8</v>
      </c>
      <c r="AI14" s="37">
        <f>IF($C14="","",VLOOKUP($C14,CTBat!$G$10:$BR$208,AI$1,FALSE))</f>
        <v>3</v>
      </c>
      <c r="AJ14" s="38">
        <f>IF($C14="","",VLOOKUP($C14,CTBat!$G$10:$BR$208,AJ$1,FALSE))</f>
        <v>4</v>
      </c>
      <c r="AK14" s="67">
        <f>IF($C14="","",(5*AD14+4*AF14+3*AG14+2*AE14+1*AH14+0.5*(AVERAGE(AD14:AE14))+0.5*AVERAGE(AD14,AH14)+1*(AVERAGE(AD14,AF14))+1*AVERAGE(AD14,AG14))/(5+4+3+2+1+0.5+0.5+1+1))</f>
        <v>6.4444444444444446</v>
      </c>
      <c r="AL14" s="5">
        <f t="shared" ref="AL14:AL19" si="41">IF($C14="","",IF(AND(OR(AU14+AX14&gt;12,AND(AU14&gt;6,AX14&gt;6)),AI14&gt;6,OR(AJ14&gt;=AI14,AJ14&gt;6)),1,0))</f>
        <v>0</v>
      </c>
      <c r="AM14" s="5">
        <f t="shared" ref="AM14:AM19" si="42">IF($C14="","",IF(OR(AND(AU14&gt;6,AY14&gt;6),AU14+AX14&gt;12),1,0))</f>
        <v>1</v>
      </c>
      <c r="AN14" s="5">
        <f t="shared" ref="AN14:AN19" si="43">IF($C14="","",IF(AND(AU14&gt;6,AW14&gt;6,AX14&gt;6),1,0))</f>
        <v>0</v>
      </c>
      <c r="AO14" s="5">
        <f t="shared" ref="AO14:AO19" si="44">IF($C14="","",IF(AND(AW14&gt;7,OR(AU14&gt;6,AX14&gt;6)),1,0))</f>
        <v>0</v>
      </c>
      <c r="AP14" s="5">
        <f t="shared" ref="AP14:AP19" si="45">IF($C14="","",IF(AND(AW14&gt;6,OR(AU14&gt;6,AX14&gt;6)),1,0))</f>
        <v>0</v>
      </c>
      <c r="AQ14" s="5">
        <f t="shared" ref="AQ14:AQ19" si="46">IF($C14="","",IF(AND(OR(AU14&gt;6,AW14&gt;6),OR(AU14&gt;6,AX14&gt;6)),1,0))</f>
        <v>1</v>
      </c>
      <c r="AR14" s="5">
        <f t="shared" ref="AR14:AR19" si="47">IF($C14="","",IF(AND(AU14&gt;4,OR(AU14&gt;6,AW14&gt;6,AX14&gt;6)),1,0))</f>
        <v>1</v>
      </c>
      <c r="AS14" s="5">
        <f t="shared" ref="AS14:AS19" si="48">IF($C14="","",IF(AND(AU14&gt;4,OR(AU14&gt;6,AV14&gt;6,AW14&gt;6,AX14&gt;6)),1,0))</f>
        <v>1</v>
      </c>
      <c r="AT14" s="5">
        <f t="shared" ref="AT14:AT19" si="49">IF($C14="","",IF(AND(AU14&gt;4,MAX(AU14:AY14)&gt;6),1,0))</f>
        <v>1</v>
      </c>
      <c r="AU14" s="58">
        <f>IF($C14="","",VLOOKUP($C14,CTBat!$G$10:$BR$208,AU$1,FALSE))</f>
        <v>7</v>
      </c>
      <c r="AV14" s="37">
        <f>IF($C14="","",VLOOKUP($C14,CTBat!$G$10:$BR$208,AV$1,FALSE))</f>
        <v>6</v>
      </c>
      <c r="AW14" s="37">
        <f>IF($C14="","",VLOOKUP($C14,CTBat!$G$10:$BR$208,AW$1,FALSE))</f>
        <v>5</v>
      </c>
      <c r="AX14" s="37">
        <f>IF($C14="","",VLOOKUP($C14,CTBat!$G$10:$BR$208,AX$1,FALSE))</f>
        <v>7</v>
      </c>
      <c r="AY14" s="38">
        <f>IF($C14="","",VLOOKUP($C14,CTBat!$G$10:$BR$208,AY$1,FALSE))</f>
        <v>8</v>
      </c>
      <c r="AZ14" s="67">
        <f t="shared" ref="AZ14:AZ19" si="50">IF($C14="","",(5*AU14+4*AW14+3*AX14+2*AV14+1*AY14+0.5*(AVERAGE(AU14:AV14))+0.5*AVERAGE(AU14,AY14)+1*(AVERAGE(AU14,AW14))+1*AVERAGE(AU14,AX14))/(5+4+3+2+1+0.5+0.5+1+1))</f>
        <v>6.4444444444444446</v>
      </c>
    </row>
    <row r="15" spans="1:52">
      <c r="A15">
        <v>2</v>
      </c>
      <c r="B15" s="36" t="s">
        <v>99</v>
      </c>
      <c r="C15" s="65" t="s">
        <v>521</v>
      </c>
      <c r="D15" s="37">
        <f>IF($C15="","",VLOOKUP($C15,CTBat!$G$10:$BR$208,D$1,FALSE))</f>
        <v>25</v>
      </c>
      <c r="E15" s="37" t="str">
        <f>IF($C15="","",VLOOKUP($C15,CTBat!$G$10:$BR$208,E$1,FALSE))</f>
        <v>R</v>
      </c>
      <c r="F15" s="53">
        <f t="shared" ref="F15:F19" si="51">IF($C15="","",IF(AND(O15&gt;0,O15=SUM(M15:T15)),1,0))</f>
        <v>0</v>
      </c>
      <c r="G15" s="5">
        <f t="shared" si="32"/>
        <v>1</v>
      </c>
      <c r="H15" s="5">
        <f>IF($C15="","",IF(AND(K15&gt;5,P15&lt;&gt;"-"),1,0))</f>
        <v>1</v>
      </c>
      <c r="I15" s="3" t="str">
        <f t="shared" ref="I15:I19" si="52">IF($C15="","","-")</f>
        <v>-</v>
      </c>
      <c r="J15" s="37">
        <f>IF($C15="","",VLOOKUP($C15,CTBat!$G$10:$BR$208,J$1,FALSE))</f>
        <v>1</v>
      </c>
      <c r="K15" s="37">
        <f>IF($C15="","",VLOOKUP($C15,CTBat!$G$10:$BR$208,K$1,FALSE))</f>
        <v>9</v>
      </c>
      <c r="L15" s="37">
        <f>IF($C15="","",VLOOKUP($C15,CTBat!$G$10:$BR$208,L$1,FALSE))</f>
        <v>4</v>
      </c>
      <c r="M15" s="58" t="str">
        <f>IF($C15="","",VLOOKUP($C15,CTBat!$G$10:$BR$208,M$1,FALSE))</f>
        <v>-</v>
      </c>
      <c r="N15" s="37" t="str">
        <f>IF($C15="","",VLOOKUP($C15,CTBat!$G$10:$BR$208,N$1,FALSE))</f>
        <v>-</v>
      </c>
      <c r="O15" s="37">
        <f>IF($C15="","",VLOOKUP($C15,CTBat!$G$10:$BR$208,O$1,FALSE))</f>
        <v>1</v>
      </c>
      <c r="P15" s="37">
        <f>IF($C15="","",VLOOKUP($C15,CTBat!$G$10:$BR$208,P$1,FALSE))</f>
        <v>5</v>
      </c>
      <c r="Q15" s="37">
        <f>IF($C15="","",VLOOKUP($C15,CTBat!$G$10:$BR$208,Q$1,FALSE))</f>
        <v>3</v>
      </c>
      <c r="R15" s="37" t="str">
        <f>IF($C15="","",VLOOKUP($C15,CTBat!$G$10:$BR$208,R$1,FALSE))</f>
        <v>-</v>
      </c>
      <c r="S15" s="37" t="str">
        <f>IF($C15="","",VLOOKUP($C15,CTBat!$G$10:$BR$208,S$1,FALSE))</f>
        <v>-</v>
      </c>
      <c r="T15" s="38" t="str">
        <f>IF($C15="","",VLOOKUP($C15,CTBat!$G$10:$BR$208,T$1,FALSE))</f>
        <v>-</v>
      </c>
      <c r="U15" s="5">
        <f t="shared" si="33"/>
        <v>0</v>
      </c>
      <c r="V15" s="5">
        <f t="shared" si="34"/>
        <v>1</v>
      </c>
      <c r="W15" s="5">
        <f t="shared" ref="W15:W19" si="53">IF($C15="","",IF(AND(AD15&gt;6,AF15&gt;6,AG15&gt;6),1,0))</f>
        <v>0</v>
      </c>
      <c r="X15" s="5">
        <f t="shared" si="35"/>
        <v>0</v>
      </c>
      <c r="Y15" s="5">
        <f t="shared" si="36"/>
        <v>0</v>
      </c>
      <c r="Z15" s="5">
        <f t="shared" si="37"/>
        <v>1</v>
      </c>
      <c r="AA15" s="5">
        <f t="shared" si="38"/>
        <v>1</v>
      </c>
      <c r="AB15" s="5">
        <f t="shared" si="39"/>
        <v>1</v>
      </c>
      <c r="AC15" s="5">
        <f t="shared" si="40"/>
        <v>1</v>
      </c>
      <c r="AD15" s="58">
        <f>IF($C15="","",VLOOKUP($C15,CTBat!$G$10:$BR$208,AD$1,FALSE))</f>
        <v>7</v>
      </c>
      <c r="AE15" s="37">
        <f>IF($C15="","",VLOOKUP($C15,CTBat!$G$10:$BR$208,AE$1,FALSE))</f>
        <v>6</v>
      </c>
      <c r="AF15" s="37">
        <f>IF($C15="","",VLOOKUP($C15,CTBat!$G$10:$BR$208,AF$1,FALSE))</f>
        <v>2</v>
      </c>
      <c r="AG15" s="37">
        <f>IF($C15="","",VLOOKUP($C15,CTBat!$G$10:$BR$208,AG$1,FALSE))</f>
        <v>7</v>
      </c>
      <c r="AH15" s="37">
        <f>IF($C15="","",VLOOKUP($C15,CTBat!$G$10:$BR$208,AH$1,FALSE))</f>
        <v>7</v>
      </c>
      <c r="AI15" s="37">
        <f>IF($C15="","",VLOOKUP($C15,CTBat!$G$10:$BR$208,AI$1,FALSE))</f>
        <v>3</v>
      </c>
      <c r="AJ15" s="38">
        <f>IF($C15="","",VLOOKUP($C15,CTBat!$G$10:$BR$208,AJ$1,FALSE))</f>
        <v>5</v>
      </c>
      <c r="AK15" s="67">
        <f t="shared" ref="AK15:AK19" si="54">IF($C15="","",(5*AD15+4*AF15+3*AG15+2*AE15+1*AH15+0.5*(AVERAGE(AD15:AE15))+0.5*AVERAGE(AD15,AH15)+1*(AVERAGE(AD15,AF15))+1*AVERAGE(AD15,AG15))/(5+4+3+2+1+0.5+0.5+1+1))</f>
        <v>5.625</v>
      </c>
      <c r="AL15" s="5">
        <f t="shared" si="41"/>
        <v>0</v>
      </c>
      <c r="AM15" s="5">
        <f t="shared" si="42"/>
        <v>1</v>
      </c>
      <c r="AN15" s="5">
        <f t="shared" si="43"/>
        <v>0</v>
      </c>
      <c r="AO15" s="5">
        <f t="shared" si="44"/>
        <v>0</v>
      </c>
      <c r="AP15" s="5">
        <f t="shared" si="45"/>
        <v>0</v>
      </c>
      <c r="AQ15" s="5">
        <f t="shared" si="46"/>
        <v>1</v>
      </c>
      <c r="AR15" s="5">
        <f t="shared" si="47"/>
        <v>1</v>
      </c>
      <c r="AS15" s="5">
        <f t="shared" si="48"/>
        <v>1</v>
      </c>
      <c r="AT15" s="5">
        <f t="shared" si="49"/>
        <v>1</v>
      </c>
      <c r="AU15" s="58">
        <f>IF($C15="","",VLOOKUP($C15,CTBat!$G$10:$BR$208,AU$1,FALSE))</f>
        <v>7</v>
      </c>
      <c r="AV15" s="37">
        <f>IF($C15="","",VLOOKUP($C15,CTBat!$G$10:$BR$208,AV$1,FALSE))</f>
        <v>6</v>
      </c>
      <c r="AW15" s="37">
        <f>IF($C15="","",VLOOKUP($C15,CTBat!$G$10:$BR$208,AW$1,FALSE))</f>
        <v>2</v>
      </c>
      <c r="AX15" s="37">
        <f>IF($C15="","",VLOOKUP($C15,CTBat!$G$10:$BR$208,AX$1,FALSE))</f>
        <v>7</v>
      </c>
      <c r="AY15" s="38">
        <f>IF($C15="","",VLOOKUP($C15,CTBat!$G$10:$BR$208,AY$1,FALSE))</f>
        <v>7</v>
      </c>
      <c r="AZ15" s="67">
        <f t="shared" si="50"/>
        <v>5.625</v>
      </c>
    </row>
    <row r="16" spans="1:52">
      <c r="A16">
        <v>3</v>
      </c>
      <c r="B16" s="36" t="s">
        <v>100</v>
      </c>
      <c r="C16" s="37" t="s">
        <v>43</v>
      </c>
      <c r="D16" s="37">
        <f>IF($C16="","",VLOOKUP($C16,CTBat!$G$10:$BR$208,D$1,FALSE))</f>
        <v>30</v>
      </c>
      <c r="E16" s="37" t="str">
        <f>IF($C16="","",VLOOKUP($C16,CTBat!$G$10:$BR$208,E$1,FALSE))</f>
        <v>L</v>
      </c>
      <c r="F16" s="53">
        <f t="shared" si="51"/>
        <v>0</v>
      </c>
      <c r="G16" s="5">
        <f t="shared" si="32"/>
        <v>1</v>
      </c>
      <c r="H16" s="5">
        <f t="shared" ref="H16:H19" si="55">IF($C16="","",IF(AND(K16&gt;5,P16&lt;&gt;"-"),1,0))</f>
        <v>1</v>
      </c>
      <c r="I16" s="3" t="str">
        <f t="shared" si="52"/>
        <v>-</v>
      </c>
      <c r="J16" s="37">
        <f>IF($C16="","",VLOOKUP($C16,CTBat!$G$10:$BR$208,J$1,FALSE))</f>
        <v>1</v>
      </c>
      <c r="K16" s="37">
        <f>IF($C16="","",VLOOKUP($C16,CTBat!$G$10:$BR$208,K$1,FALSE))</f>
        <v>8</v>
      </c>
      <c r="L16" s="37">
        <f>IF($C16="","",VLOOKUP($C16,CTBat!$G$10:$BR$208,L$1,FALSE))</f>
        <v>1</v>
      </c>
      <c r="M16" s="58" t="str">
        <f>IF($C16="","",VLOOKUP($C16,CTBat!$G$10:$BR$208,M$1,FALSE))</f>
        <v>-</v>
      </c>
      <c r="N16" s="37" t="str">
        <f>IF($C16="","",VLOOKUP($C16,CTBat!$G$10:$BR$208,N$1,FALSE))</f>
        <v>-</v>
      </c>
      <c r="O16" s="37">
        <f>IF($C16="","",VLOOKUP($C16,CTBat!$G$10:$BR$208,O$1,FALSE))</f>
        <v>2</v>
      </c>
      <c r="P16" s="37">
        <f>IF($C16="","",VLOOKUP($C16,CTBat!$G$10:$BR$208,P$1,FALSE))</f>
        <v>8</v>
      </c>
      <c r="Q16" s="37">
        <f>IF($C16="","",VLOOKUP($C16,CTBat!$G$10:$BR$208,Q$1,FALSE))</f>
        <v>7</v>
      </c>
      <c r="R16" s="37" t="str">
        <f>IF($C16="","",VLOOKUP($C16,CTBat!$G$10:$BR$208,R$1,FALSE))</f>
        <v>-</v>
      </c>
      <c r="S16" s="37" t="str">
        <f>IF($C16="","",VLOOKUP($C16,CTBat!$G$10:$BR$208,S$1,FALSE))</f>
        <v>-</v>
      </c>
      <c r="T16" s="38" t="str">
        <f>IF($C16="","",VLOOKUP($C16,CTBat!$G$10:$BR$208,T$1,FALSE))</f>
        <v>-</v>
      </c>
      <c r="U16" s="5">
        <f>IF($C16="","",IF(OR(AD16+AG16&gt;14,AND(OR(AD16+AG16&gt;12,AND(AD16&gt;6,AG16&gt;6)),AI16&gt;6,OR(AJ16&gt;=AI16,AJ16&gt;6))),1,0))</f>
        <v>1</v>
      </c>
      <c r="V16" s="5">
        <f t="shared" si="34"/>
        <v>1</v>
      </c>
      <c r="W16" s="5">
        <f t="shared" si="53"/>
        <v>1</v>
      </c>
      <c r="X16" s="5">
        <f t="shared" si="35"/>
        <v>1</v>
      </c>
      <c r="Y16" s="5">
        <f t="shared" si="36"/>
        <v>1</v>
      </c>
      <c r="Z16" s="5">
        <f t="shared" si="37"/>
        <v>1</v>
      </c>
      <c r="AA16" s="5">
        <f t="shared" si="38"/>
        <v>1</v>
      </c>
      <c r="AB16" s="5">
        <f t="shared" si="39"/>
        <v>1</v>
      </c>
      <c r="AC16" s="5">
        <f t="shared" si="40"/>
        <v>1</v>
      </c>
      <c r="AD16" s="58">
        <f>IF($C16="","",VLOOKUP($C16,CTBat!$G$10:$BR$208,AD$1,FALSE))</f>
        <v>8</v>
      </c>
      <c r="AE16" s="37">
        <f>IF($C16="","",VLOOKUP($C16,CTBat!$G$10:$BR$208,AE$1,FALSE))</f>
        <v>8</v>
      </c>
      <c r="AF16" s="37">
        <f>IF($C16="","",VLOOKUP($C16,CTBat!$G$10:$BR$208,AF$1,FALSE))</f>
        <v>10</v>
      </c>
      <c r="AG16" s="37">
        <f>IF($C16="","",VLOOKUP($C16,CTBat!$G$10:$BR$208,AG$1,FALSE))</f>
        <v>7</v>
      </c>
      <c r="AH16" s="37">
        <f>IF($C16="","",VLOOKUP($C16,CTBat!$G$10:$BR$208,AH$1,FALSE))</f>
        <v>4</v>
      </c>
      <c r="AI16" s="37">
        <f>IF($C16="","",VLOOKUP($C16,CTBat!$G$10:$BR$208,AI$1,FALSE))</f>
        <v>2</v>
      </c>
      <c r="AJ16" s="38">
        <f>IF($C16="","",VLOOKUP($C16,CTBat!$G$10:$BR$208,AJ$1,FALSE))</f>
        <v>4</v>
      </c>
      <c r="AK16" s="67">
        <f t="shared" si="54"/>
        <v>8.0277777777777786</v>
      </c>
      <c r="AL16" s="5">
        <f t="shared" si="41"/>
        <v>0</v>
      </c>
      <c r="AM16" s="5">
        <f t="shared" si="42"/>
        <v>1</v>
      </c>
      <c r="AN16" s="5">
        <f t="shared" si="43"/>
        <v>1</v>
      </c>
      <c r="AO16" s="5">
        <f t="shared" si="44"/>
        <v>1</v>
      </c>
      <c r="AP16" s="5">
        <f t="shared" si="45"/>
        <v>1</v>
      </c>
      <c r="AQ16" s="5">
        <f t="shared" si="46"/>
        <v>1</v>
      </c>
      <c r="AR16" s="5">
        <f t="shared" si="47"/>
        <v>1</v>
      </c>
      <c r="AS16" s="5">
        <f t="shared" si="48"/>
        <v>1</v>
      </c>
      <c r="AT16" s="5">
        <f t="shared" si="49"/>
        <v>1</v>
      </c>
      <c r="AU16" s="58">
        <f>IF($C16="","",VLOOKUP($C16,CTBat!$G$10:$BR$208,AU$1,FALSE))</f>
        <v>8</v>
      </c>
      <c r="AV16" s="37">
        <f>IF($C16="","",VLOOKUP($C16,CTBat!$G$10:$BR$208,AV$1,FALSE))</f>
        <v>8</v>
      </c>
      <c r="AW16" s="37">
        <f>IF($C16="","",VLOOKUP($C16,CTBat!$G$10:$BR$208,AW$1,FALSE))</f>
        <v>10</v>
      </c>
      <c r="AX16" s="37">
        <f>IF($C16="","",VLOOKUP($C16,CTBat!$G$10:$BR$208,AX$1,FALSE))</f>
        <v>7</v>
      </c>
      <c r="AY16" s="38">
        <f>IF($C16="","",VLOOKUP($C16,CTBat!$G$10:$BR$208,AY$1,FALSE))</f>
        <v>4</v>
      </c>
      <c r="AZ16" s="67">
        <f t="shared" si="50"/>
        <v>8.0277777777777786</v>
      </c>
    </row>
    <row r="17" spans="1:52">
      <c r="A17">
        <v>4</v>
      </c>
      <c r="B17" s="36" t="s">
        <v>104</v>
      </c>
      <c r="C17" s="37" t="s">
        <v>50</v>
      </c>
      <c r="D17" s="37">
        <f>IF($C17="","",VLOOKUP($C17,CTBat!$G$10:$BR$208,D$1,FALSE))</f>
        <v>29</v>
      </c>
      <c r="E17" s="37" t="str">
        <f>IF($C17="","",VLOOKUP($C17,CTBat!$G$10:$BR$208,E$1,FALSE))</f>
        <v>R</v>
      </c>
      <c r="F17" s="53">
        <f t="shared" si="51"/>
        <v>0</v>
      </c>
      <c r="G17" s="5">
        <f t="shared" si="32"/>
        <v>1</v>
      </c>
      <c r="H17" s="5">
        <f t="shared" si="55"/>
        <v>1</v>
      </c>
      <c r="I17" s="3" t="str">
        <f t="shared" si="52"/>
        <v>-</v>
      </c>
      <c r="J17" s="37">
        <f>IF($C17="","",VLOOKUP($C17,CTBat!$G$10:$BR$208,J$1,FALSE))</f>
        <v>1</v>
      </c>
      <c r="K17" s="37">
        <f>IF($C17="","",VLOOKUP($C17,CTBat!$G$10:$BR$208,K$1,FALSE))</f>
        <v>10</v>
      </c>
      <c r="L17" s="37">
        <f>IF($C17="","",VLOOKUP($C17,CTBat!$G$10:$BR$208,L$1,FALSE))</f>
        <v>2</v>
      </c>
      <c r="M17" s="58" t="str">
        <f>IF($C17="","",VLOOKUP($C17,CTBat!$G$10:$BR$208,M$1,FALSE))</f>
        <v>-</v>
      </c>
      <c r="N17" s="37">
        <f>IF($C17="","",VLOOKUP($C17,CTBat!$G$10:$BR$208,N$1,FALSE))</f>
        <v>10</v>
      </c>
      <c r="O17" s="37">
        <f>IF($C17="","",VLOOKUP($C17,CTBat!$G$10:$BR$208,O$1,FALSE))</f>
        <v>10</v>
      </c>
      <c r="P17" s="37">
        <f>IF($C17="","",VLOOKUP($C17,CTBat!$G$10:$BR$208,P$1,FALSE))</f>
        <v>10</v>
      </c>
      <c r="Q17" s="37">
        <f>IF($C17="","",VLOOKUP($C17,CTBat!$G$10:$BR$208,Q$1,FALSE))</f>
        <v>8</v>
      </c>
      <c r="R17" s="37" t="str">
        <f>IF($C17="","",VLOOKUP($C17,CTBat!$G$10:$BR$208,R$1,FALSE))</f>
        <v>-</v>
      </c>
      <c r="S17" s="37" t="str">
        <f>IF($C17="","",VLOOKUP($C17,CTBat!$G$10:$BR$208,S$1,FALSE))</f>
        <v>-</v>
      </c>
      <c r="T17" s="38" t="str">
        <f>IF($C17="","",VLOOKUP($C17,CTBat!$G$10:$BR$208,T$1,FALSE))</f>
        <v>-</v>
      </c>
      <c r="U17" s="5">
        <f t="shared" ref="U17:U19" si="56">IF($C17="","",IF(OR(AD17+AG17&gt;14,AND(OR(AD17+AG17&gt;12,AND(AD17&gt;6,AG17&gt;6)),AI17&gt;6,OR(AJ17&gt;=AI17,AJ17&gt;6))),1,0))</f>
        <v>0</v>
      </c>
      <c r="V17" s="5">
        <f t="shared" si="34"/>
        <v>1</v>
      </c>
      <c r="W17" s="5">
        <f t="shared" si="53"/>
        <v>0</v>
      </c>
      <c r="X17" s="5">
        <f t="shared" si="35"/>
        <v>0</v>
      </c>
      <c r="Y17" s="5">
        <f t="shared" si="36"/>
        <v>0</v>
      </c>
      <c r="Z17" s="5">
        <f t="shared" si="37"/>
        <v>0</v>
      </c>
      <c r="AA17" s="5">
        <f t="shared" si="38"/>
        <v>1</v>
      </c>
      <c r="AB17" s="5">
        <f t="shared" si="39"/>
        <v>1</v>
      </c>
      <c r="AC17" s="5">
        <f t="shared" si="40"/>
        <v>1</v>
      </c>
      <c r="AD17" s="58">
        <f>IF($C17="","",VLOOKUP($C17,CTBat!$G$10:$BR$208,AD$1,FALSE))</f>
        <v>6</v>
      </c>
      <c r="AE17" s="37">
        <f>IF($C17="","",VLOOKUP($C17,CTBat!$G$10:$BR$208,AE$1,FALSE))</f>
        <v>6</v>
      </c>
      <c r="AF17" s="37">
        <f>IF($C17="","",VLOOKUP($C17,CTBat!$G$10:$BR$208,AF$1,FALSE))</f>
        <v>5</v>
      </c>
      <c r="AG17" s="37">
        <f>IF($C17="","",VLOOKUP($C17,CTBat!$G$10:$BR$208,AG$1,FALSE))</f>
        <v>8</v>
      </c>
      <c r="AH17" s="37">
        <f>IF($C17="","",VLOOKUP($C17,CTBat!$G$10:$BR$208,AH$1,FALSE))</f>
        <v>7</v>
      </c>
      <c r="AI17" s="37">
        <f>IF($C17="","",VLOOKUP($C17,CTBat!$G$10:$BR$208,AI$1,FALSE))</f>
        <v>4</v>
      </c>
      <c r="AJ17" s="38">
        <f>IF($C17="","",VLOOKUP($C17,CTBat!$G$10:$BR$208,AJ$1,FALSE))</f>
        <v>6</v>
      </c>
      <c r="AK17" s="67">
        <f t="shared" si="54"/>
        <v>6.208333333333333</v>
      </c>
      <c r="AL17" s="5">
        <f t="shared" si="41"/>
        <v>0</v>
      </c>
      <c r="AM17" s="5">
        <f t="shared" si="42"/>
        <v>1</v>
      </c>
      <c r="AN17" s="5">
        <f t="shared" si="43"/>
        <v>0</v>
      </c>
      <c r="AO17" s="5">
        <f t="shared" si="44"/>
        <v>0</v>
      </c>
      <c r="AP17" s="5">
        <f t="shared" si="45"/>
        <v>0</v>
      </c>
      <c r="AQ17" s="5">
        <f t="shared" si="46"/>
        <v>0</v>
      </c>
      <c r="AR17" s="5">
        <f t="shared" si="47"/>
        <v>1</v>
      </c>
      <c r="AS17" s="5">
        <f t="shared" si="48"/>
        <v>1</v>
      </c>
      <c r="AT17" s="5">
        <f t="shared" si="49"/>
        <v>1</v>
      </c>
      <c r="AU17" s="58">
        <f>IF($C17="","",VLOOKUP($C17,CTBat!$G$10:$BR$208,AU$1,FALSE))</f>
        <v>6</v>
      </c>
      <c r="AV17" s="37">
        <f>IF($C17="","",VLOOKUP($C17,CTBat!$G$10:$BR$208,AV$1,FALSE))</f>
        <v>6</v>
      </c>
      <c r="AW17" s="37">
        <f>IF($C17="","",VLOOKUP($C17,CTBat!$G$10:$BR$208,AW$1,FALSE))</f>
        <v>5</v>
      </c>
      <c r="AX17" s="37">
        <f>IF($C17="","",VLOOKUP($C17,CTBat!$G$10:$BR$208,AX$1,FALSE))</f>
        <v>8</v>
      </c>
      <c r="AY17" s="38">
        <f>IF($C17="","",VLOOKUP($C17,CTBat!$G$10:$BR$208,AY$1,FALSE))</f>
        <v>7</v>
      </c>
      <c r="AZ17" s="67">
        <f t="shared" si="50"/>
        <v>6.208333333333333</v>
      </c>
    </row>
    <row r="18" spans="1:52">
      <c r="A18">
        <v>5</v>
      </c>
      <c r="B18" s="36" t="s">
        <v>104</v>
      </c>
      <c r="C18" s="65"/>
      <c r="D18" s="37" t="str">
        <f>IF($C18="","",VLOOKUP($C18,CTBat!$G$10:$BR$208,D$1,FALSE))</f>
        <v/>
      </c>
      <c r="E18" s="37" t="str">
        <f>IF($C18="","",VLOOKUP($C18,CTBat!$G$10:$BR$208,E$1,FALSE))</f>
        <v/>
      </c>
      <c r="F18" s="53" t="str">
        <f t="shared" ref="F18" si="57">IF($C18="","",IF(AND(O18&gt;0,O18=SUM(M18:T18)),1,0))</f>
        <v/>
      </c>
      <c r="G18" s="5" t="str">
        <f t="shared" si="32"/>
        <v/>
      </c>
      <c r="H18" s="5" t="str">
        <f t="shared" si="55"/>
        <v/>
      </c>
      <c r="I18" s="3" t="str">
        <f t="shared" si="52"/>
        <v/>
      </c>
      <c r="J18" s="37" t="str">
        <f>IF($C18="","",VLOOKUP($C18,CTBat!$G$10:$BR$208,J$1,FALSE))</f>
        <v/>
      </c>
      <c r="K18" s="37" t="str">
        <f>IF($C18="","",VLOOKUP($C18,CTBat!$G$10:$BR$208,K$1,FALSE))</f>
        <v/>
      </c>
      <c r="L18" s="37" t="str">
        <f>IF($C18="","",VLOOKUP($C18,CTBat!$G$10:$BR$208,L$1,FALSE))</f>
        <v/>
      </c>
      <c r="M18" s="58" t="str">
        <f>IF($C18="","",VLOOKUP($C18,CTBat!$G$10:$BR$208,M$1,FALSE))</f>
        <v/>
      </c>
      <c r="N18" s="37" t="str">
        <f>IF($C18="","",VLOOKUP($C18,CTBat!$G$10:$BR$208,N$1,FALSE))</f>
        <v/>
      </c>
      <c r="O18" s="37" t="str">
        <f>IF($C18="","",VLOOKUP($C18,CTBat!$G$10:$BR$208,O$1,FALSE))</f>
        <v/>
      </c>
      <c r="P18" s="37" t="str">
        <f>IF($C18="","",VLOOKUP($C18,CTBat!$G$10:$BR$208,P$1,FALSE))</f>
        <v/>
      </c>
      <c r="Q18" s="37" t="str">
        <f>IF($C18="","",VLOOKUP($C18,CTBat!$G$10:$BR$208,Q$1,FALSE))</f>
        <v/>
      </c>
      <c r="R18" s="37" t="str">
        <f>IF($C18="","",VLOOKUP($C18,CTBat!$G$10:$BR$208,R$1,FALSE))</f>
        <v/>
      </c>
      <c r="S18" s="37" t="str">
        <f>IF($C18="","",VLOOKUP($C18,CTBat!$G$10:$BR$208,S$1,FALSE))</f>
        <v/>
      </c>
      <c r="T18" s="38" t="str">
        <f>IF($C18="","",VLOOKUP($C18,CTBat!$G$10:$BR$208,T$1,FALSE))</f>
        <v/>
      </c>
      <c r="U18" s="5" t="str">
        <f t="shared" si="56"/>
        <v/>
      </c>
      <c r="V18" s="5" t="str">
        <f t="shared" si="34"/>
        <v/>
      </c>
      <c r="W18" s="5" t="str">
        <f t="shared" ref="W18" si="58">IF($C18="","",IF(AND(AD18&gt;6,AF18&gt;6,AG18&gt;6),1,0))</f>
        <v/>
      </c>
      <c r="X18" s="5" t="str">
        <f t="shared" si="35"/>
        <v/>
      </c>
      <c r="Y18" s="5" t="str">
        <f t="shared" si="36"/>
        <v/>
      </c>
      <c r="Z18" s="5" t="str">
        <f t="shared" si="37"/>
        <v/>
      </c>
      <c r="AA18" s="5" t="str">
        <f t="shared" si="38"/>
        <v/>
      </c>
      <c r="AB18" s="5" t="str">
        <f t="shared" si="39"/>
        <v/>
      </c>
      <c r="AC18" s="5" t="str">
        <f t="shared" si="40"/>
        <v/>
      </c>
      <c r="AD18" s="58" t="str">
        <f>IF($C18="","",VLOOKUP($C18,CTBat!$G$10:$BR$208,AD$1,FALSE))</f>
        <v/>
      </c>
      <c r="AE18" s="37" t="str">
        <f>IF($C18="","",VLOOKUP($C18,CTBat!$G$10:$BR$208,AE$1,FALSE))</f>
        <v/>
      </c>
      <c r="AF18" s="37" t="str">
        <f>IF($C18="","",VLOOKUP($C18,CTBat!$G$10:$BR$208,AF$1,FALSE))</f>
        <v/>
      </c>
      <c r="AG18" s="37" t="str">
        <f>IF($C18="","",VLOOKUP($C18,CTBat!$G$10:$BR$208,AG$1,FALSE))</f>
        <v/>
      </c>
      <c r="AH18" s="37" t="str">
        <f>IF($C18="","",VLOOKUP($C18,CTBat!$G$10:$BR$208,AH$1,FALSE))</f>
        <v/>
      </c>
      <c r="AI18" s="37" t="str">
        <f>IF($C18="","",VLOOKUP($C18,CTBat!$G$10:$BR$208,AI$1,FALSE))</f>
        <v/>
      </c>
      <c r="AJ18" s="38" t="str">
        <f>IF($C18="","",VLOOKUP($C18,CTBat!$G$10:$BR$208,AJ$1,FALSE))</f>
        <v/>
      </c>
      <c r="AK18" s="67" t="str">
        <f t="shared" si="54"/>
        <v/>
      </c>
      <c r="AL18" s="5" t="str">
        <f t="shared" si="41"/>
        <v/>
      </c>
      <c r="AM18" s="5" t="str">
        <f t="shared" si="42"/>
        <v/>
      </c>
      <c r="AN18" s="5" t="str">
        <f t="shared" si="43"/>
        <v/>
      </c>
      <c r="AO18" s="5" t="str">
        <f t="shared" si="44"/>
        <v/>
      </c>
      <c r="AP18" s="5" t="str">
        <f t="shared" si="45"/>
        <v/>
      </c>
      <c r="AQ18" s="5" t="str">
        <f t="shared" si="46"/>
        <v/>
      </c>
      <c r="AR18" s="5" t="str">
        <f t="shared" si="47"/>
        <v/>
      </c>
      <c r="AS18" s="5" t="str">
        <f t="shared" si="48"/>
        <v/>
      </c>
      <c r="AT18" s="5" t="str">
        <f t="shared" si="49"/>
        <v/>
      </c>
      <c r="AU18" s="58" t="str">
        <f>IF($C18="","",VLOOKUP($C18,CTBat!$G$10:$BR$208,AU$1,FALSE))</f>
        <v/>
      </c>
      <c r="AV18" s="37" t="str">
        <f>IF($C18="","",VLOOKUP($C18,CTBat!$G$10:$BR$208,AV$1,FALSE))</f>
        <v/>
      </c>
      <c r="AW18" s="37" t="str">
        <f>IF($C18="","",VLOOKUP($C18,CTBat!$G$10:$BR$208,AW$1,FALSE))</f>
        <v/>
      </c>
      <c r="AX18" s="37" t="str">
        <f>IF($C18="","",VLOOKUP($C18,CTBat!$G$10:$BR$208,AX$1,FALSE))</f>
        <v/>
      </c>
      <c r="AY18" s="38" t="str">
        <f>IF($C18="","",VLOOKUP($C18,CTBat!$G$10:$BR$208,AY$1,FALSE))</f>
        <v/>
      </c>
      <c r="AZ18" s="67" t="str">
        <f t="shared" si="50"/>
        <v/>
      </c>
    </row>
    <row r="19" spans="1:52">
      <c r="A19">
        <v>6</v>
      </c>
      <c r="B19" s="39" t="s">
        <v>104</v>
      </c>
      <c r="C19" s="40"/>
      <c r="D19" s="40" t="str">
        <f>IF($C19="","",VLOOKUP($C19,CTBat!$G$10:$BR$208,D$1,FALSE))</f>
        <v/>
      </c>
      <c r="E19" s="40" t="str">
        <f>IF($C19="","",VLOOKUP($C19,CTBat!$G$10:$BR$208,E$1,FALSE))</f>
        <v/>
      </c>
      <c r="F19" s="54" t="str">
        <f t="shared" si="51"/>
        <v/>
      </c>
      <c r="G19" s="41" t="str">
        <f>IF($C19="","",IF(Q19&lt;&gt;"-",1,0))</f>
        <v/>
      </c>
      <c r="H19" s="41" t="str">
        <f t="shared" si="55"/>
        <v/>
      </c>
      <c r="I19" s="62" t="str">
        <f t="shared" si="52"/>
        <v/>
      </c>
      <c r="J19" s="40" t="str">
        <f>IF($C19="","",VLOOKUP($C19,CTBat!$G$10:$BR$208,J$1,FALSE))</f>
        <v/>
      </c>
      <c r="K19" s="40" t="str">
        <f>IF($C19="","",VLOOKUP($C19,CTBat!$G$10:$BR$208,K$1,FALSE))</f>
        <v/>
      </c>
      <c r="L19" s="40" t="str">
        <f>IF($C19="","",VLOOKUP($C19,CTBat!$G$10:$BR$208,L$1,FALSE))</f>
        <v/>
      </c>
      <c r="M19" s="59" t="str">
        <f>IF($C19="","",VLOOKUP($C19,CTBat!$G$10:$BR$208,M$1,FALSE))</f>
        <v/>
      </c>
      <c r="N19" s="40" t="str">
        <f>IF($C19="","",VLOOKUP($C19,CTBat!$G$10:$BR$208,N$1,FALSE))</f>
        <v/>
      </c>
      <c r="O19" s="40" t="str">
        <f>IF($C19="","",VLOOKUP($C19,CTBat!$G$10:$BR$208,O$1,FALSE))</f>
        <v/>
      </c>
      <c r="P19" s="40" t="str">
        <f>IF($C19="","",VLOOKUP($C19,CTBat!$G$10:$BR$208,P$1,FALSE))</f>
        <v/>
      </c>
      <c r="Q19" s="40" t="str">
        <f>IF($C19="","",VLOOKUP($C19,CTBat!$G$10:$BR$208,Q$1,FALSE))</f>
        <v/>
      </c>
      <c r="R19" s="40" t="str">
        <f>IF($C19="","",VLOOKUP($C19,CTBat!$G$10:$BR$208,R$1,FALSE))</f>
        <v/>
      </c>
      <c r="S19" s="40" t="str">
        <f>IF($C19="","",VLOOKUP($C19,CTBat!$G$10:$BR$208,S$1,FALSE))</f>
        <v/>
      </c>
      <c r="T19" s="42" t="str">
        <f>IF($C19="","",VLOOKUP($C19,CTBat!$G$10:$BR$208,T$1,FALSE))</f>
        <v/>
      </c>
      <c r="U19" s="41" t="str">
        <f t="shared" si="56"/>
        <v/>
      </c>
      <c r="V19" s="41" t="str">
        <f t="shared" si="34"/>
        <v/>
      </c>
      <c r="W19" s="41" t="str">
        <f t="shared" si="53"/>
        <v/>
      </c>
      <c r="X19" s="41" t="str">
        <f t="shared" si="35"/>
        <v/>
      </c>
      <c r="Y19" s="41" t="str">
        <f t="shared" si="36"/>
        <v/>
      </c>
      <c r="Z19" s="41" t="str">
        <f t="shared" si="37"/>
        <v/>
      </c>
      <c r="AA19" s="41" t="str">
        <f t="shared" si="38"/>
        <v/>
      </c>
      <c r="AB19" s="41" t="str">
        <f t="shared" si="39"/>
        <v/>
      </c>
      <c r="AC19" s="41" t="str">
        <f t="shared" si="40"/>
        <v/>
      </c>
      <c r="AD19" s="59" t="str">
        <f>IF($C19="","",VLOOKUP($C19,CTBat!$G$10:$BR$208,AD$1,FALSE))</f>
        <v/>
      </c>
      <c r="AE19" s="40" t="str">
        <f>IF($C19="","",VLOOKUP($C19,CTBat!$G$10:$BR$208,AE$1,FALSE))</f>
        <v/>
      </c>
      <c r="AF19" s="40" t="str">
        <f>IF($C19="","",VLOOKUP($C19,CTBat!$G$10:$BR$208,AF$1,FALSE))</f>
        <v/>
      </c>
      <c r="AG19" s="40" t="str">
        <f>IF($C19="","",VLOOKUP($C19,CTBat!$G$10:$BR$208,AG$1,FALSE))</f>
        <v/>
      </c>
      <c r="AH19" s="40" t="str">
        <f>IF($C19="","",VLOOKUP($C19,CTBat!$G$10:$BR$208,AH$1,FALSE))</f>
        <v/>
      </c>
      <c r="AI19" s="40" t="str">
        <f>IF($C19="","",VLOOKUP($C19,CTBat!$G$10:$BR$208,AI$1,FALSE))</f>
        <v/>
      </c>
      <c r="AJ19" s="42" t="str">
        <f>IF($C19="","",VLOOKUP($C19,CTBat!$G$10:$BR$208,AJ$1,FALSE))</f>
        <v/>
      </c>
      <c r="AK19" s="68" t="str">
        <f t="shared" si="54"/>
        <v/>
      </c>
      <c r="AL19" s="41" t="str">
        <f t="shared" si="41"/>
        <v/>
      </c>
      <c r="AM19" s="41" t="str">
        <f t="shared" si="42"/>
        <v/>
      </c>
      <c r="AN19" s="41" t="str">
        <f t="shared" si="43"/>
        <v/>
      </c>
      <c r="AO19" s="41" t="str">
        <f t="shared" si="44"/>
        <v/>
      </c>
      <c r="AP19" s="41" t="str">
        <f t="shared" si="45"/>
        <v/>
      </c>
      <c r="AQ19" s="41" t="str">
        <f t="shared" si="46"/>
        <v/>
      </c>
      <c r="AR19" s="41" t="str">
        <f t="shared" si="47"/>
        <v/>
      </c>
      <c r="AS19" s="41" t="str">
        <f t="shared" si="48"/>
        <v/>
      </c>
      <c r="AT19" s="41" t="str">
        <f t="shared" si="49"/>
        <v/>
      </c>
      <c r="AU19" s="59" t="str">
        <f>IF($C19="","",VLOOKUP($C19,CTBat!$G$10:$BR$208,AU$1,FALSE))</f>
        <v/>
      </c>
      <c r="AV19" s="40" t="str">
        <f>IF($C19="","",VLOOKUP($C19,CTBat!$G$10:$BR$208,AV$1,FALSE))</f>
        <v/>
      </c>
      <c r="AW19" s="40" t="str">
        <f>IF($C19="","",VLOOKUP($C19,CTBat!$G$10:$BR$208,AW$1,FALSE))</f>
        <v/>
      </c>
      <c r="AX19" s="40" t="str">
        <f>IF($C19="","",VLOOKUP($C19,CTBat!$G$10:$BR$208,AX$1,FALSE))</f>
        <v/>
      </c>
      <c r="AY19" s="42" t="str">
        <f>IF($C19="","",VLOOKUP($C19,CTBat!$G$10:$BR$208,AY$1,FALSE))</f>
        <v/>
      </c>
      <c r="AZ19" s="68" t="str">
        <f t="shared" si="50"/>
        <v/>
      </c>
    </row>
    <row r="21" spans="1:52" ht="196.5">
      <c r="A21" s="25" t="s">
        <v>196</v>
      </c>
      <c r="B21" s="43" t="s">
        <v>136</v>
      </c>
      <c r="C21" s="44" t="str">
        <f>"Player ("&amp;COUNTA(C22:C24)&amp;")"</f>
        <v>Player (2)</v>
      </c>
      <c r="D21" s="44" t="s">
        <v>94</v>
      </c>
      <c r="E21" s="44" t="s">
        <v>104</v>
      </c>
      <c r="F21" s="64" t="str">
        <f>"Strong C Arm ("&amp;SUM(F22:F24)&amp;")"</f>
        <v>Strong C Arm (2)</v>
      </c>
      <c r="G21" s="48" t="s">
        <v>41</v>
      </c>
      <c r="H21" s="48" t="s">
        <v>41</v>
      </c>
      <c r="I21" s="48" t="s">
        <v>41</v>
      </c>
      <c r="J21" s="55" t="s">
        <v>139</v>
      </c>
      <c r="K21" s="47" t="s">
        <v>137</v>
      </c>
      <c r="L21" s="56" t="s">
        <v>138</v>
      </c>
      <c r="M21" s="48" t="s">
        <v>95</v>
      </c>
      <c r="N21" s="48" t="s">
        <v>97</v>
      </c>
      <c r="O21" s="48" t="s">
        <v>98</v>
      </c>
      <c r="P21" s="48" t="s">
        <v>99</v>
      </c>
      <c r="Q21" s="48" t="s">
        <v>100</v>
      </c>
      <c r="R21" s="48" t="s">
        <v>101</v>
      </c>
      <c r="S21" s="48" t="s">
        <v>102</v>
      </c>
      <c r="T21" s="49" t="s">
        <v>103</v>
      </c>
      <c r="U21" s="45" t="s">
        <v>140</v>
      </c>
      <c r="V21" s="45" t="s">
        <v>184</v>
      </c>
      <c r="W21" s="45" t="s">
        <v>141</v>
      </c>
      <c r="X21" s="45" t="s">
        <v>142</v>
      </c>
      <c r="Y21" s="45" t="s">
        <v>143</v>
      </c>
      <c r="Z21" s="45" t="s">
        <v>144</v>
      </c>
      <c r="AA21" s="45" t="s">
        <v>145</v>
      </c>
      <c r="AB21" s="45" t="s">
        <v>147</v>
      </c>
      <c r="AC21" s="60" t="s">
        <v>146</v>
      </c>
      <c r="AD21" s="48" t="s">
        <v>150</v>
      </c>
      <c r="AE21" s="48" t="s">
        <v>151</v>
      </c>
      <c r="AF21" s="48" t="s">
        <v>152</v>
      </c>
      <c r="AG21" s="48" t="s">
        <v>153</v>
      </c>
      <c r="AH21" s="48" t="s">
        <v>29</v>
      </c>
      <c r="AI21" s="48" t="s">
        <v>154</v>
      </c>
      <c r="AJ21" s="49" t="s">
        <v>155</v>
      </c>
      <c r="AK21" s="66" t="s">
        <v>160</v>
      </c>
      <c r="AL21" s="45" t="s">
        <v>140</v>
      </c>
      <c r="AM21" s="45" t="s">
        <v>184</v>
      </c>
      <c r="AN21" s="45" t="s">
        <v>141</v>
      </c>
      <c r="AO21" s="45" t="s">
        <v>142</v>
      </c>
      <c r="AP21" s="45" t="s">
        <v>143</v>
      </c>
      <c r="AQ21" s="45" t="s">
        <v>144</v>
      </c>
      <c r="AR21" s="45" t="s">
        <v>145</v>
      </c>
      <c r="AS21" s="45" t="s">
        <v>147</v>
      </c>
      <c r="AT21" s="60" t="s">
        <v>146</v>
      </c>
      <c r="AU21" s="63" t="s">
        <v>150</v>
      </c>
      <c r="AV21" s="48" t="s">
        <v>151</v>
      </c>
      <c r="AW21" s="48" t="s">
        <v>152</v>
      </c>
      <c r="AX21" s="48" t="s">
        <v>153</v>
      </c>
      <c r="AY21" s="49" t="s">
        <v>29</v>
      </c>
      <c r="AZ21" s="66" t="s">
        <v>201</v>
      </c>
    </row>
    <row r="22" spans="1:52">
      <c r="A22">
        <v>1</v>
      </c>
      <c r="B22" s="36" t="s">
        <v>95</v>
      </c>
      <c r="C22" s="37" t="s">
        <v>93</v>
      </c>
      <c r="D22" s="37">
        <f>IF($C22="","",VLOOKUP($C22,CTBat!$G$10:$BR$208,D$1,FALSE))</f>
        <v>28</v>
      </c>
      <c r="E22" s="37" t="str">
        <f>IF($C22="","",VLOOKUP($C22,CTBat!$G$10:$BR$208,E$1,FALSE))</f>
        <v>R</v>
      </c>
      <c r="F22" s="53">
        <f>IF($C22="","",IF(J22&gt;5,1,0))</f>
        <v>1</v>
      </c>
      <c r="G22" s="5" t="str">
        <f t="shared" ref="G22:H24" si="59">IF($C22="","","-")</f>
        <v>-</v>
      </c>
      <c r="H22" s="5" t="str">
        <f t="shared" si="59"/>
        <v>-</v>
      </c>
      <c r="I22" s="5" t="str">
        <f>IF($C22="","","-")</f>
        <v>-</v>
      </c>
      <c r="J22" s="58">
        <f>IF($C22="","",VLOOKUP($C22,CTBat!$G$10:$BR$208,J$1,FALSE))</f>
        <v>10</v>
      </c>
      <c r="K22" s="37">
        <f>IF($C22="","",VLOOKUP($C22,CTBat!$G$10:$BR$208,K$1,FALSE))</f>
        <v>8</v>
      </c>
      <c r="L22" s="38">
        <f>IF($C22="","",VLOOKUP($C22,CTBat!$G$10:$BR$208,L$1,FALSE))</f>
        <v>8</v>
      </c>
      <c r="M22" s="37">
        <f>IF($C22="","",VLOOKUP($C22,CTBat!$G$10:$BR$208,M$1,FALSE))</f>
        <v>10</v>
      </c>
      <c r="N22" s="37">
        <f>IF($C22="","",VLOOKUP($C22,CTBat!$G$10:$BR$208,N$1,FALSE))</f>
        <v>1</v>
      </c>
      <c r="O22" s="37" t="str">
        <f>IF($C22="","",VLOOKUP($C22,CTBat!$G$10:$BR$208,O$1,FALSE))</f>
        <v>-</v>
      </c>
      <c r="P22" s="37" t="str">
        <f>IF($C22="","",VLOOKUP($C22,CTBat!$G$10:$BR$208,P$1,FALSE))</f>
        <v>-</v>
      </c>
      <c r="Q22" s="37" t="str">
        <f>IF($C22="","",VLOOKUP($C22,CTBat!$G$10:$BR$208,Q$1,FALSE))</f>
        <v>-</v>
      </c>
      <c r="R22" s="37" t="str">
        <f>IF($C22="","",VLOOKUP($C22,CTBat!$G$10:$BR$208,R$1,FALSE))</f>
        <v>-</v>
      </c>
      <c r="S22" s="37" t="str">
        <f>IF($C22="","",VLOOKUP($C22,CTBat!$G$10:$BR$208,S$1,FALSE))</f>
        <v>-</v>
      </c>
      <c r="T22" s="38" t="str">
        <f>IF($C22="","",VLOOKUP($C22,CTBat!$G$10:$BR$208,T$1,FALSE))</f>
        <v>-</v>
      </c>
      <c r="U22" s="5">
        <f t="shared" ref="U22:U24" si="60">IF($C22="","",IF(OR(AD22+AG22&gt;14,AND(OR(AD22+AG22&gt;12,AND(AD22&gt;6,AG22&gt;6)),AI22&gt;6,OR(AJ22&gt;=AI22,AJ22&gt;6))),1,0))</f>
        <v>0</v>
      </c>
      <c r="V22" s="5">
        <f t="shared" ref="V22:V24" si="61">IF($C22="","",IF(OR(AND(AD22&gt;6,AH22&gt;6),AD22+AG22&gt;12),1,0))</f>
        <v>0</v>
      </c>
      <c r="W22" s="5">
        <f t="shared" ref="W22:W24" si="62">IF($C22="","",IF(AND(AD22&gt;6,AF22&gt;6,AG22&gt;6),1,0))</f>
        <v>0</v>
      </c>
      <c r="X22" s="5">
        <f t="shared" ref="X22:X24" si="63">IF($C22="","",IF(AND(AF22&gt;7,OR(AD22&gt;6,AG22&gt;6)),1,0))</f>
        <v>0</v>
      </c>
      <c r="Y22" s="5">
        <f t="shared" ref="Y22:Y24" si="64">IF($C22="","",IF(AND(AF22&gt;6,OR(AD22&gt;6,AG22&gt;6)),1,0))</f>
        <v>0</v>
      </c>
      <c r="Z22" s="5">
        <f t="shared" ref="Z22:Z24" si="65">IF($C22="","",IF(AND(OR(AD22&gt;6,AF22&gt;6),OR(AD22&gt;6,AG22&gt;6)),1,0))</f>
        <v>0</v>
      </c>
      <c r="AA22" s="5">
        <f t="shared" ref="AA22:AA24" si="66">IF($C22="","",IF(AND(AD22&gt;4,OR(AD22&gt;6,AF22&gt;6,AG22&gt;6)),1,0))</f>
        <v>1</v>
      </c>
      <c r="AB22" s="5">
        <f t="shared" ref="AB22:AB24" si="67">IF($C22="","",IF(AND(AD22&gt;4,OR(AD22&gt;6,AE22&gt;6,AF22&gt;6,AG22&gt;6)),1,0))</f>
        <v>1</v>
      </c>
      <c r="AC22" s="3">
        <f t="shared" ref="AC22:AC24" si="68">IF($C22="","",IF(AND(AD22&gt;4,MAX(AD22:AH22)&gt;6),1,0))</f>
        <v>1</v>
      </c>
      <c r="AD22" s="37">
        <f>IF($C22="","",VLOOKUP($C22,CTBat!$G$10:$BR$208,AD$1,FALSE))</f>
        <v>6</v>
      </c>
      <c r="AE22" s="37">
        <f>IF($C22="","",VLOOKUP($C22,CTBat!$G$10:$BR$208,AE$1,FALSE))</f>
        <v>9</v>
      </c>
      <c r="AF22" s="37">
        <f>IF($C22="","",VLOOKUP($C22,CTBat!$G$10:$BR$208,AF$1,FALSE))</f>
        <v>7</v>
      </c>
      <c r="AG22" s="37">
        <f>IF($C22="","",VLOOKUP($C22,CTBat!$G$10:$BR$208,AG$1,FALSE))</f>
        <v>6</v>
      </c>
      <c r="AH22" s="37">
        <f>IF($C22="","",VLOOKUP($C22,CTBat!$G$10:$BR$208,AH$1,FALSE))</f>
        <v>7</v>
      </c>
      <c r="AI22" s="37">
        <f>IF($C22="","",VLOOKUP($C22,CTBat!$G$10:$BR$208,AI$1,FALSE))</f>
        <v>3</v>
      </c>
      <c r="AJ22" s="38">
        <f>IF($C22="","",VLOOKUP($C22,CTBat!$G$10:$BR$208,AJ$1,FALSE))</f>
        <v>3</v>
      </c>
      <c r="AK22" s="67">
        <f>IF($C22="","",(5*AD22+4*AF22+3*AG22+2*AE22+1*AH22+0.5*(AVERAGE(AD22:AE22))+0.5*AVERAGE(AD22,AH22)+1*(AVERAGE(AD22,AF22))+1*AVERAGE(AD22,AG22))/(5+4+3+2+1+0.5+0.5+1+1))</f>
        <v>6.6944444444444446</v>
      </c>
      <c r="AL22" s="5">
        <f t="shared" ref="AL22:AL24" si="69">IF($C22="","",IF(AND(OR(AU22+AX22&gt;12,AND(AU22&gt;6,AX22&gt;6)),AI22&gt;6,OR(AJ22&gt;=AI22,AJ22&gt;6)),1,0))</f>
        <v>0</v>
      </c>
      <c r="AM22" s="5">
        <f t="shared" ref="AM22:AM24" si="70">IF($C22="","",IF(OR(AND(AU22&gt;6,AY22&gt;6),AU22+AX22&gt;12),1,0))</f>
        <v>0</v>
      </c>
      <c r="AN22" s="5">
        <f t="shared" ref="AN22:AN24" si="71">IF($C22="","",IF(AND(AU22&gt;6,AW22&gt;6,AX22&gt;6),1,0))</f>
        <v>0</v>
      </c>
      <c r="AO22" s="5">
        <f t="shared" ref="AO22:AO24" si="72">IF($C22="","",IF(AND(AW22&gt;7,OR(AU22&gt;6,AX22&gt;6)),1,0))</f>
        <v>0</v>
      </c>
      <c r="AP22" s="5">
        <f t="shared" ref="AP22:AP24" si="73">IF($C22="","",IF(AND(AW22&gt;6,OR(AU22&gt;6,AX22&gt;6)),1,0))</f>
        <v>0</v>
      </c>
      <c r="AQ22" s="5">
        <f t="shared" ref="AQ22:AQ24" si="74">IF($C22="","",IF(AND(OR(AU22&gt;6,AW22&gt;6),OR(AU22&gt;6,AX22&gt;6)),1,0))</f>
        <v>0</v>
      </c>
      <c r="AR22" s="5">
        <f t="shared" ref="AR22:AR24" si="75">IF($C22="","",IF(AND(AU22&gt;4,OR(AU22&gt;6,AW22&gt;6,AX22&gt;6)),1,0))</f>
        <v>1</v>
      </c>
      <c r="AS22" s="5">
        <f t="shared" ref="AS22:AS24" si="76">IF($C22="","",IF(AND(AU22&gt;4,OR(AU22&gt;6,AV22&gt;6,AW22&gt;6,AX22&gt;6)),1,0))</f>
        <v>1</v>
      </c>
      <c r="AT22" s="3">
        <f t="shared" ref="AT22:AT24" si="77">IF($C22="","",IF(AND(AU22&gt;4,MAX(AU22:AY22)&gt;6),1,0))</f>
        <v>1</v>
      </c>
      <c r="AU22" s="58">
        <f>IF($C22="","",VLOOKUP($C22,CTBat!$G$10:$BR$208,AU$1,FALSE))</f>
        <v>6</v>
      </c>
      <c r="AV22" s="37">
        <f>IF($C22="","",VLOOKUP($C22,CTBat!$G$10:$BR$208,AV$1,FALSE))</f>
        <v>9</v>
      </c>
      <c r="AW22" s="37">
        <f>IF($C22="","",VLOOKUP($C22,CTBat!$G$10:$BR$208,AW$1,FALSE))</f>
        <v>7</v>
      </c>
      <c r="AX22" s="37">
        <f>IF($C22="","",VLOOKUP($C22,CTBat!$G$10:$BR$208,AX$1,FALSE))</f>
        <v>6</v>
      </c>
      <c r="AY22" s="38">
        <f>IF($C22="","",VLOOKUP($C22,CTBat!$G$10:$BR$208,AY$1,FALSE))</f>
        <v>7</v>
      </c>
      <c r="AZ22" s="67">
        <f t="shared" ref="AZ22:AZ24" si="78">IF($C22="","",(5*AU22+4*AW22+3*AX22+2*AV22+1*AY22+0.5*(AVERAGE(AU22:AV22))+0.5*AVERAGE(AU22,AY22)+1*(AVERAGE(AU22,AW22))+1*AVERAGE(AU22,AX22))/(5+4+3+2+1+0.5+0.5+1+1))</f>
        <v>6.6944444444444446</v>
      </c>
    </row>
    <row r="23" spans="1:52">
      <c r="A23">
        <v>2</v>
      </c>
      <c r="B23" s="36" t="s">
        <v>104</v>
      </c>
      <c r="C23" s="37" t="s">
        <v>525</v>
      </c>
      <c r="D23" s="37">
        <f>IF($C23="","",VLOOKUP($C23,CTBat!$G$10:$BR$208,D$1,FALSE))</f>
        <v>26</v>
      </c>
      <c r="E23" s="37" t="str">
        <f>IF($C23="","",VLOOKUP($C23,CTBat!$G$10:$BR$208,E$1,FALSE))</f>
        <v>R</v>
      </c>
      <c r="F23" s="53">
        <f>IF($C23="","",IF(J23&gt;5,1,0))</f>
        <v>1</v>
      </c>
      <c r="G23" s="5" t="str">
        <f t="shared" si="59"/>
        <v>-</v>
      </c>
      <c r="H23" s="5" t="str">
        <f t="shared" si="59"/>
        <v>-</v>
      </c>
      <c r="I23" s="5" t="str">
        <f>IF($C23="","","-")</f>
        <v>-</v>
      </c>
      <c r="J23" s="58">
        <f>IF($C23="","",VLOOKUP($C23,CTBat!$G$10:$BR$208,J$1,FALSE))</f>
        <v>7</v>
      </c>
      <c r="K23" s="37">
        <f>IF($C23="","",VLOOKUP($C23,CTBat!$G$10:$BR$208,K$1,FALSE))</f>
        <v>4</v>
      </c>
      <c r="L23" s="38">
        <f>IF($C23="","",VLOOKUP($C23,CTBat!$G$10:$BR$208,L$1,FALSE))</f>
        <v>5</v>
      </c>
      <c r="M23" s="37">
        <f>IF($C23="","",VLOOKUP($C23,CTBat!$G$10:$BR$208,M$1,FALSE))</f>
        <v>8</v>
      </c>
      <c r="N23" s="37" t="str">
        <f>IF($C23="","",VLOOKUP($C23,CTBat!$G$10:$BR$208,N$1,FALSE))</f>
        <v>-</v>
      </c>
      <c r="O23" s="37" t="str">
        <f>IF($C23="","",VLOOKUP($C23,CTBat!$G$10:$BR$208,O$1,FALSE))</f>
        <v>-</v>
      </c>
      <c r="P23" s="37" t="str">
        <f>IF($C23="","",VLOOKUP($C23,CTBat!$G$10:$BR$208,P$1,FALSE))</f>
        <v>-</v>
      </c>
      <c r="Q23" s="37" t="str">
        <f>IF($C23="","",VLOOKUP($C23,CTBat!$G$10:$BR$208,Q$1,FALSE))</f>
        <v>-</v>
      </c>
      <c r="R23" s="37" t="str">
        <f>IF($C23="","",VLOOKUP($C23,CTBat!$G$10:$BR$208,R$1,FALSE))</f>
        <v>-</v>
      </c>
      <c r="S23" s="37" t="str">
        <f>IF($C23="","",VLOOKUP($C23,CTBat!$G$10:$BR$208,S$1,FALSE))</f>
        <v>-</v>
      </c>
      <c r="T23" s="38" t="str">
        <f>IF($C23="","",VLOOKUP($C23,CTBat!$G$10:$BR$208,T$1,FALSE))</f>
        <v>-</v>
      </c>
      <c r="U23" s="5">
        <f t="shared" si="60"/>
        <v>0</v>
      </c>
      <c r="V23" s="5">
        <f t="shared" si="61"/>
        <v>1</v>
      </c>
      <c r="W23" s="5">
        <f t="shared" ref="W23" si="79">IF($C23="","",IF(AND(AD23&gt;6,AF23&gt;6,AG23&gt;6),1,0))</f>
        <v>0</v>
      </c>
      <c r="X23" s="5">
        <f t="shared" si="63"/>
        <v>0</v>
      </c>
      <c r="Y23" s="5">
        <f t="shared" si="64"/>
        <v>0</v>
      </c>
      <c r="Z23" s="5">
        <f t="shared" si="65"/>
        <v>0</v>
      </c>
      <c r="AA23" s="5">
        <f t="shared" si="66"/>
        <v>1</v>
      </c>
      <c r="AB23" s="5">
        <f t="shared" si="67"/>
        <v>1</v>
      </c>
      <c r="AC23" s="3">
        <f t="shared" si="68"/>
        <v>1</v>
      </c>
      <c r="AD23" s="37">
        <f>IF($C23="","",VLOOKUP($C23,CTBat!$G$10:$BR$208,AD$1,FALSE))</f>
        <v>6</v>
      </c>
      <c r="AE23" s="37">
        <f>IF($C23="","",VLOOKUP($C23,CTBat!$G$10:$BR$208,AE$1,FALSE))</f>
        <v>6</v>
      </c>
      <c r="AF23" s="37">
        <f>IF($C23="","",VLOOKUP($C23,CTBat!$G$10:$BR$208,AF$1,FALSE))</f>
        <v>6</v>
      </c>
      <c r="AG23" s="37">
        <f>IF($C23="","",VLOOKUP($C23,CTBat!$G$10:$BR$208,AG$1,FALSE))</f>
        <v>7</v>
      </c>
      <c r="AH23" s="37">
        <f>IF($C23="","",VLOOKUP($C23,CTBat!$G$10:$BR$208,AH$1,FALSE))</f>
        <v>6</v>
      </c>
      <c r="AI23" s="37">
        <f>IF($C23="","",VLOOKUP($C23,CTBat!$G$10:$BR$208,AI$1,FALSE))</f>
        <v>1</v>
      </c>
      <c r="AJ23" s="38">
        <f>IF($C23="","",VLOOKUP($C23,CTBat!$G$10:$BR$208,AJ$1,FALSE))</f>
        <v>1</v>
      </c>
      <c r="AK23" s="67">
        <f t="shared" ref="AK23:AK24" si="80">IF($C23="","",(5*AD23+4*AF23+3*AG23+2*AE23+1*AH23+0.5*(AVERAGE(AD23:AE23))+0.5*AVERAGE(AD23,AH23)+1*(AVERAGE(AD23,AF23))+1*AVERAGE(AD23,AG23))/(5+4+3+2+1+0.5+0.5+1+1))</f>
        <v>6.1944444444444446</v>
      </c>
      <c r="AL23" s="5">
        <f t="shared" si="69"/>
        <v>0</v>
      </c>
      <c r="AM23" s="5">
        <f t="shared" si="70"/>
        <v>1</v>
      </c>
      <c r="AN23" s="5">
        <f t="shared" si="71"/>
        <v>0</v>
      </c>
      <c r="AO23" s="5">
        <f t="shared" si="72"/>
        <v>0</v>
      </c>
      <c r="AP23" s="5">
        <f t="shared" si="73"/>
        <v>0</v>
      </c>
      <c r="AQ23" s="5">
        <f t="shared" si="74"/>
        <v>0</v>
      </c>
      <c r="AR23" s="5">
        <f t="shared" si="75"/>
        <v>1</v>
      </c>
      <c r="AS23" s="5">
        <f t="shared" si="76"/>
        <v>1</v>
      </c>
      <c r="AT23" s="3">
        <f t="shared" si="77"/>
        <v>1</v>
      </c>
      <c r="AU23" s="58">
        <f>IF($C23="","",VLOOKUP($C23,CTBat!$G$10:$BR$208,AU$1,FALSE))</f>
        <v>6</v>
      </c>
      <c r="AV23" s="37">
        <f>IF($C23="","",VLOOKUP($C23,CTBat!$G$10:$BR$208,AV$1,FALSE))</f>
        <v>6</v>
      </c>
      <c r="AW23" s="37">
        <f>IF($C23="","",VLOOKUP($C23,CTBat!$G$10:$BR$208,AW$1,FALSE))</f>
        <v>6</v>
      </c>
      <c r="AX23" s="37">
        <f>IF($C23="","",VLOOKUP($C23,CTBat!$G$10:$BR$208,AX$1,FALSE))</f>
        <v>7</v>
      </c>
      <c r="AY23" s="38">
        <f>IF($C23="","",VLOOKUP($C23,CTBat!$G$10:$BR$208,AY$1,FALSE))</f>
        <v>6</v>
      </c>
      <c r="AZ23" s="67">
        <f t="shared" si="78"/>
        <v>6.1944444444444446</v>
      </c>
    </row>
    <row r="24" spans="1:52">
      <c r="A24">
        <v>3</v>
      </c>
      <c r="B24" s="39" t="s">
        <v>104</v>
      </c>
      <c r="C24" s="40"/>
      <c r="D24" s="40" t="str">
        <f>IF($C24="","",VLOOKUP($C24,CTBat!$G$10:$BR$208,D$1,FALSE))</f>
        <v/>
      </c>
      <c r="E24" s="40" t="str">
        <f>IF($C24="","",VLOOKUP($C24,CTBat!$G$10:$BR$208,E$1,FALSE))</f>
        <v/>
      </c>
      <c r="F24" s="54" t="str">
        <f>IF($C24="","",IF(J24&gt;5,1,0))</f>
        <v/>
      </c>
      <c r="G24" s="41" t="str">
        <f t="shared" si="59"/>
        <v/>
      </c>
      <c r="H24" s="41" t="str">
        <f t="shared" si="59"/>
        <v/>
      </c>
      <c r="I24" s="41" t="str">
        <f>IF($C24="","","-")</f>
        <v/>
      </c>
      <c r="J24" s="59" t="str">
        <f>IF($C24="","",VLOOKUP($C24,CTBat!$G$10:$BR$208,J$1,FALSE))</f>
        <v/>
      </c>
      <c r="K24" s="40" t="str">
        <f>IF($C24="","",VLOOKUP($C24,CTBat!$G$10:$BR$208,K$1,FALSE))</f>
        <v/>
      </c>
      <c r="L24" s="42" t="str">
        <f>IF($C24="","",VLOOKUP($C24,CTBat!$G$10:$BR$208,L$1,FALSE))</f>
        <v/>
      </c>
      <c r="M24" s="40" t="str">
        <f>IF($C24="","",VLOOKUP($C24,CTBat!$G$10:$BR$208,M$1,FALSE))</f>
        <v/>
      </c>
      <c r="N24" s="40" t="str">
        <f>IF($C24="","",VLOOKUP($C24,CTBat!$G$10:$BR$208,N$1,FALSE))</f>
        <v/>
      </c>
      <c r="O24" s="40" t="str">
        <f>IF($C24="","",VLOOKUP($C24,CTBat!$G$10:$BR$208,O$1,FALSE))</f>
        <v/>
      </c>
      <c r="P24" s="40" t="str">
        <f>IF($C24="","",VLOOKUP($C24,CTBat!$G$10:$BR$208,P$1,FALSE))</f>
        <v/>
      </c>
      <c r="Q24" s="40" t="str">
        <f>IF($C24="","",VLOOKUP($C24,CTBat!$G$10:$BR$208,Q$1,FALSE))</f>
        <v/>
      </c>
      <c r="R24" s="40" t="str">
        <f>IF($C24="","",VLOOKUP($C24,CTBat!$G$10:$BR$208,R$1,FALSE))</f>
        <v/>
      </c>
      <c r="S24" s="40" t="str">
        <f>IF($C24="","",VLOOKUP($C24,CTBat!$G$10:$BR$208,S$1,FALSE))</f>
        <v/>
      </c>
      <c r="T24" s="42" t="str">
        <f>IF($C24="","",VLOOKUP($C24,CTBat!$G$10:$BR$208,T$1,FALSE))</f>
        <v/>
      </c>
      <c r="U24" s="41" t="str">
        <f t="shared" si="60"/>
        <v/>
      </c>
      <c r="V24" s="41" t="str">
        <f t="shared" si="61"/>
        <v/>
      </c>
      <c r="W24" s="41" t="str">
        <f t="shared" si="62"/>
        <v/>
      </c>
      <c r="X24" s="41" t="str">
        <f t="shared" si="63"/>
        <v/>
      </c>
      <c r="Y24" s="41" t="str">
        <f t="shared" si="64"/>
        <v/>
      </c>
      <c r="Z24" s="41" t="str">
        <f t="shared" si="65"/>
        <v/>
      </c>
      <c r="AA24" s="41" t="str">
        <f t="shared" si="66"/>
        <v/>
      </c>
      <c r="AB24" s="41" t="str">
        <f t="shared" si="67"/>
        <v/>
      </c>
      <c r="AC24" s="62" t="str">
        <f t="shared" si="68"/>
        <v/>
      </c>
      <c r="AD24" s="40" t="str">
        <f>IF($C24="","",VLOOKUP($C24,CTBat!$G$10:$BR$208,AD$1,FALSE))</f>
        <v/>
      </c>
      <c r="AE24" s="40" t="str">
        <f>IF($C24="","",VLOOKUP($C24,CTBat!$G$10:$BR$208,AE$1,FALSE))</f>
        <v/>
      </c>
      <c r="AF24" s="40" t="str">
        <f>IF($C24="","",VLOOKUP($C24,CTBat!$G$10:$BR$208,AF$1,FALSE))</f>
        <v/>
      </c>
      <c r="AG24" s="40" t="str">
        <f>IF($C24="","",VLOOKUP($C24,CTBat!$G$10:$BR$208,AG$1,FALSE))</f>
        <v/>
      </c>
      <c r="AH24" s="40" t="str">
        <f>IF($C24="","",VLOOKUP($C24,CTBat!$G$10:$BR$208,AH$1,FALSE))</f>
        <v/>
      </c>
      <c r="AI24" s="40" t="str">
        <f>IF($C24="","",VLOOKUP($C24,CTBat!$G$10:$BR$208,AI$1,FALSE))</f>
        <v/>
      </c>
      <c r="AJ24" s="42" t="str">
        <f>IF($C24="","",VLOOKUP($C24,CTBat!$G$10:$BR$208,AJ$1,FALSE))</f>
        <v/>
      </c>
      <c r="AK24" s="68" t="str">
        <f t="shared" si="80"/>
        <v/>
      </c>
      <c r="AL24" s="41" t="str">
        <f t="shared" si="69"/>
        <v/>
      </c>
      <c r="AM24" s="41" t="str">
        <f t="shared" si="70"/>
        <v/>
      </c>
      <c r="AN24" s="41" t="str">
        <f t="shared" si="71"/>
        <v/>
      </c>
      <c r="AO24" s="41" t="str">
        <f t="shared" si="72"/>
        <v/>
      </c>
      <c r="AP24" s="41" t="str">
        <f t="shared" si="73"/>
        <v/>
      </c>
      <c r="AQ24" s="41" t="str">
        <f t="shared" si="74"/>
        <v/>
      </c>
      <c r="AR24" s="41" t="str">
        <f t="shared" si="75"/>
        <v/>
      </c>
      <c r="AS24" s="41" t="str">
        <f t="shared" si="76"/>
        <v/>
      </c>
      <c r="AT24" s="62" t="str">
        <f t="shared" si="77"/>
        <v/>
      </c>
      <c r="AU24" s="59" t="str">
        <f>IF($C24="","",VLOOKUP($C24,CTBat!$G$10:$BR$208,AU$1,FALSE))</f>
        <v/>
      </c>
      <c r="AV24" s="40" t="str">
        <f>IF($C24="","",VLOOKUP($C24,CTBat!$G$10:$BR$208,AV$1,FALSE))</f>
        <v/>
      </c>
      <c r="AW24" s="40" t="str">
        <f>IF($C24="","",VLOOKUP($C24,CTBat!$G$10:$BR$208,AW$1,FALSE))</f>
        <v/>
      </c>
      <c r="AX24" s="40" t="str">
        <f>IF($C24="","",VLOOKUP($C24,CTBat!$G$10:$BR$208,AX$1,FALSE))</f>
        <v/>
      </c>
      <c r="AY24" s="42" t="str">
        <f>IF($C24="","",VLOOKUP($C24,CTBat!$G$10:$BR$208,AY$1,FALSE))</f>
        <v/>
      </c>
      <c r="AZ24" s="68" t="str">
        <f t="shared" si="78"/>
        <v/>
      </c>
    </row>
    <row r="26" spans="1:52" s="1" customFormat="1">
      <c r="B26" s="251" t="s">
        <v>522</v>
      </c>
      <c r="C26" s="44" t="s">
        <v>121</v>
      </c>
      <c r="D26" s="44" t="s">
        <v>122</v>
      </c>
      <c r="E26" s="50" t="s">
        <v>104</v>
      </c>
      <c r="F26" s="21" t="s">
        <v>159</v>
      </c>
      <c r="G26" s="21" t="s">
        <v>163</v>
      </c>
      <c r="H26" s="70" t="s">
        <v>161</v>
      </c>
      <c r="I26" s="88" t="s">
        <v>185</v>
      </c>
      <c r="J26" s="43" t="s">
        <v>95</v>
      </c>
      <c r="K26" s="21" t="s">
        <v>148</v>
      </c>
      <c r="L26" s="21" t="s">
        <v>149</v>
      </c>
      <c r="M26" s="21" t="s">
        <v>208</v>
      </c>
      <c r="N26" s="21" t="s">
        <v>96</v>
      </c>
      <c r="O26" s="43" t="s">
        <v>209</v>
      </c>
      <c r="P26" s="70" t="s">
        <v>210</v>
      </c>
      <c r="Q26" s="43" t="s">
        <v>218</v>
      </c>
      <c r="R26" s="87" t="s">
        <v>236</v>
      </c>
      <c r="T26" s="43" t="s">
        <v>122</v>
      </c>
      <c r="U26" s="43" t="s">
        <v>219</v>
      </c>
      <c r="V26" s="70" t="s">
        <v>243</v>
      </c>
      <c r="W26" s="21" t="s">
        <v>218</v>
      </c>
      <c r="X26" s="70" t="s">
        <v>236</v>
      </c>
      <c r="Z26" s="1" t="s">
        <v>477</v>
      </c>
      <c r="AG26" s="290" t="s">
        <v>519</v>
      </c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2"/>
    </row>
    <row r="27" spans="1:52">
      <c r="B27" s="36">
        <v>1</v>
      </c>
      <c r="C27" s="57" t="s">
        <v>494</v>
      </c>
      <c r="D27" s="33" t="s">
        <v>102</v>
      </c>
      <c r="E27" s="38" t="str">
        <f t="shared" ref="E27" si="81">IF($C27="","",VLOOKUP($C27,$C$3:$AK$24,$E$1-2,FALSE))</f>
        <v>L</v>
      </c>
      <c r="F27" s="5">
        <f t="shared" ref="F27:F35" si="82">IF($C27="","",VLOOKUP($C27,$C$3:$AK$24,18+$B27,FALSE))</f>
        <v>1</v>
      </c>
      <c r="G27" s="5">
        <f>IF($C27="","",IF(VLOOKUP($C27,$C$3:$AK$24,18+3,FALSE)=1,3,IF(VLOOKUP($C27,$C$3:$AK$24,18+4,FALSE)=1,4,IF(VLOOKUP($C27,$C$3:$AK$24,18+1,FALSE)=1,1,IF(VLOOKUP($C27,$C$3:$AK$24,18+5,FALSE)=1,5,IF(VLOOKUP($C27,$C$3:$AK$24,18+2,FALSE)=1,2,IF(VLOOKUP($C27,$C$3:$AK$24,18+6,FALSE)=1,6,IF(VLOOKUP($C27,$C$3:$AK$24,18+7,FALSE)=1,7,IF(VLOOKUP($C27,$C$3:$AK$24,18+8,FALSE)=1,8,9)))))))))</f>
        <v>1</v>
      </c>
      <c r="H27" s="8">
        <f>IF($C27="","",VLOOKUP($C27,$C$3:$AK$24,35,FALSE))</f>
        <v>6.4444444444444446</v>
      </c>
      <c r="I27" s="89">
        <v>3</v>
      </c>
      <c r="J27" s="53">
        <f>IF($C27="","",VLOOKUP($C27,$C$3:$AZ$24,17+AD$1,FALSE))</f>
        <v>6</v>
      </c>
      <c r="K27" s="5">
        <f t="shared" ref="K27:K35" si="83">IF($C27="","",VLOOKUP($C27,$C$3:$AZ$24,17+AE$1,FALSE))</f>
        <v>7</v>
      </c>
      <c r="L27" s="5">
        <f t="shared" ref="L27:L35" si="84">IF($C27="","",VLOOKUP($C27,$C$3:$AZ$24,17+AF$1,FALSE))</f>
        <v>6</v>
      </c>
      <c r="M27" s="5">
        <f t="shared" ref="M27:M35" si="85">IF($C27="","",VLOOKUP($C27,$C$3:$AZ$24,17+AG$1,FALSE))</f>
        <v>8</v>
      </c>
      <c r="N27" s="5">
        <f t="shared" ref="N27:N35" si="86">IF($C27="","",VLOOKUP($C27,$C$3:$AZ$24,17+AH$1,FALSE))</f>
        <v>5</v>
      </c>
      <c r="O27" s="53">
        <f t="shared" ref="O27:O35" si="87">IF($C27="","",VLOOKUP($C27,$C$3:$AZ$24,1+AI$1,FALSE))</f>
        <v>10</v>
      </c>
      <c r="P27" s="3">
        <f t="shared" ref="P27:P35" si="88">IF($C27="","",VLOOKUP($C27,$C$3:$AZ$24,1+AJ$1,FALSE))</f>
        <v>10</v>
      </c>
      <c r="Q27" s="117">
        <f t="shared" ref="Q27:Q35" si="89">IF($C27="","",IF($D27="DH","-",VLOOKUP($C27,$C$2:$AZ$24,9+VLOOKUP($D27,$T$26:$U$34,2,FALSE),FALSE)))</f>
        <v>10</v>
      </c>
      <c r="R27" s="102">
        <f t="shared" ref="R27:R35" si="90">IF($C27="","",IF($D27="DH","-",VLOOKUP($C27,$C$2:$AZ$24,VLOOKUP($D27,$T$26:$V$34,3,FALSE),FALSE)))</f>
        <v>9</v>
      </c>
      <c r="T27" s="53" t="s">
        <v>95</v>
      </c>
      <c r="U27" s="53">
        <v>2</v>
      </c>
      <c r="V27" s="3">
        <v>8</v>
      </c>
      <c r="W27" s="5">
        <f>VLOOKUP($T27,$D$26:$R$35,14,FALSE)</f>
        <v>10</v>
      </c>
      <c r="X27" s="3">
        <f>VLOOKUP($T27,$D$26:$R$35,15,FALSE)</f>
        <v>10</v>
      </c>
      <c r="Z27" t="s">
        <v>478</v>
      </c>
      <c r="AA27">
        <v>1</v>
      </c>
      <c r="AG27" s="202">
        <v>1</v>
      </c>
      <c r="AH27" s="295" t="s">
        <v>517</v>
      </c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6"/>
    </row>
    <row r="28" spans="1:52">
      <c r="B28" s="36">
        <v>2</v>
      </c>
      <c r="C28" s="58" t="s">
        <v>43</v>
      </c>
      <c r="D28" s="37" t="s">
        <v>100</v>
      </c>
      <c r="E28" s="38" t="str">
        <f>IF($C28="","",VLOOKUP($C28,$C$3:$AK$24,$E$1-2,FALSE))</f>
        <v>L</v>
      </c>
      <c r="F28" s="5">
        <f t="shared" si="82"/>
        <v>1</v>
      </c>
      <c r="G28" s="5">
        <f t="shared" ref="G28:G35" si="91">IF($C28="","",IF(VLOOKUP($C28,$C$3:$AK$24,18+3,FALSE)=1,3,IF(VLOOKUP($C28,$C$3:$AK$24,18+4,FALSE)=1,4,IF(VLOOKUP($C28,$C$3:$AK$24,18+1,FALSE)=1,1,IF(VLOOKUP($C28,$C$3:$AK$24,18+5,FALSE)=1,5,IF(VLOOKUP($C28,$C$3:$AK$24,18+2,FALSE)=1,2,IF(VLOOKUP($C28,$C$3:$AK$24,18+6,FALSE)=1,6,IF(VLOOKUP($C28,$C$3:$AK$24,18+7,FALSE)=1,7,IF(VLOOKUP($C28,$C$3:$AK$24,18+8,FALSE)=1,8,9)))))))))</f>
        <v>3</v>
      </c>
      <c r="H28" s="8">
        <f t="shared" ref="H28:H35" si="92">IF($C28="","",VLOOKUP($C28,$C$3:$AK$24,35,FALSE))</f>
        <v>8.0277777777777786</v>
      </c>
      <c r="I28" s="89">
        <v>5</v>
      </c>
      <c r="J28" s="53">
        <f t="shared" ref="J28:J35" si="93">IF($C28="","",VLOOKUP($C28,$C$3:$AZ$24,17+AD$1,FALSE))</f>
        <v>8</v>
      </c>
      <c r="K28" s="5">
        <f t="shared" si="83"/>
        <v>8</v>
      </c>
      <c r="L28" s="5">
        <f t="shared" si="84"/>
        <v>10</v>
      </c>
      <c r="M28" s="5">
        <f t="shared" si="85"/>
        <v>7</v>
      </c>
      <c r="N28" s="5">
        <f t="shared" si="86"/>
        <v>4</v>
      </c>
      <c r="O28" s="53">
        <f t="shared" si="87"/>
        <v>2</v>
      </c>
      <c r="P28" s="3">
        <f t="shared" si="88"/>
        <v>4</v>
      </c>
      <c r="Q28" s="118">
        <f t="shared" si="89"/>
        <v>7</v>
      </c>
      <c r="R28" s="102">
        <f t="shared" si="90"/>
        <v>8</v>
      </c>
      <c r="T28" s="53" t="s">
        <v>97</v>
      </c>
      <c r="U28" s="53">
        <v>3</v>
      </c>
      <c r="V28" s="3">
        <v>9</v>
      </c>
      <c r="W28" s="5">
        <f t="shared" ref="W28:W34" si="94">VLOOKUP($T28,$D$26:$R$35,14,FALSE)</f>
        <v>7</v>
      </c>
      <c r="X28" s="3">
        <f t="shared" ref="X28:X34" si="95">VLOOKUP($T28,$D$26:$R$35,15,FALSE)</f>
        <v>3</v>
      </c>
      <c r="Z28" t="s">
        <v>479</v>
      </c>
      <c r="AA28">
        <v>3</v>
      </c>
      <c r="AG28" s="77">
        <v>2</v>
      </c>
      <c r="AH28" s="295" t="s">
        <v>518</v>
      </c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6"/>
    </row>
    <row r="29" spans="1:52">
      <c r="B29" s="36">
        <v>3</v>
      </c>
      <c r="C29" s="58" t="s">
        <v>395</v>
      </c>
      <c r="D29" s="65" t="s">
        <v>103</v>
      </c>
      <c r="E29" s="38" t="str">
        <f t="shared" ref="E29:E35" si="96">IF($C29="","",VLOOKUP($C29,$C$3:$AK$24,$E$1-2,FALSE))</f>
        <v>L</v>
      </c>
      <c r="F29" s="5">
        <f t="shared" si="82"/>
        <v>0</v>
      </c>
      <c r="G29" s="5">
        <f t="shared" si="91"/>
        <v>1</v>
      </c>
      <c r="H29" s="8">
        <f t="shared" si="92"/>
        <v>7.208333333333333</v>
      </c>
      <c r="I29" s="89">
        <v>1</v>
      </c>
      <c r="J29" s="53">
        <f t="shared" si="93"/>
        <v>10</v>
      </c>
      <c r="K29" s="5">
        <f t="shared" si="83"/>
        <v>7</v>
      </c>
      <c r="L29" s="5">
        <f t="shared" si="84"/>
        <v>4</v>
      </c>
      <c r="M29" s="5">
        <f t="shared" si="85"/>
        <v>6</v>
      </c>
      <c r="N29" s="5">
        <f t="shared" si="86"/>
        <v>8</v>
      </c>
      <c r="O29" s="53">
        <f t="shared" si="87"/>
        <v>7</v>
      </c>
      <c r="P29" s="3">
        <f t="shared" si="88"/>
        <v>9</v>
      </c>
      <c r="Q29" s="118">
        <f t="shared" si="89"/>
        <v>10</v>
      </c>
      <c r="R29" s="102">
        <f t="shared" si="90"/>
        <v>10</v>
      </c>
      <c r="T29" s="53" t="s">
        <v>98</v>
      </c>
      <c r="U29" s="53">
        <v>4</v>
      </c>
      <c r="V29" s="3">
        <v>9</v>
      </c>
      <c r="W29" s="5">
        <f t="shared" si="94"/>
        <v>7</v>
      </c>
      <c r="X29" s="3">
        <f t="shared" si="95"/>
        <v>5</v>
      </c>
      <c r="Z29" t="s">
        <v>482</v>
      </c>
      <c r="AA29">
        <v>5</v>
      </c>
      <c r="AG29" s="77">
        <v>3</v>
      </c>
      <c r="AH29" s="295" t="s">
        <v>360</v>
      </c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6"/>
    </row>
    <row r="30" spans="1:52">
      <c r="B30" s="36">
        <v>4</v>
      </c>
      <c r="C30" s="58" t="s">
        <v>592</v>
      </c>
      <c r="D30" s="65" t="s">
        <v>18</v>
      </c>
      <c r="E30" s="38" t="str">
        <f t="shared" si="96"/>
        <v>L</v>
      </c>
      <c r="F30" s="5">
        <f t="shared" si="82"/>
        <v>1</v>
      </c>
      <c r="G30" s="5">
        <f t="shared" si="91"/>
        <v>3</v>
      </c>
      <c r="H30" s="8">
        <f t="shared" si="92"/>
        <v>7.7361111111111107</v>
      </c>
      <c r="I30" s="89">
        <v>2</v>
      </c>
      <c r="J30" s="53">
        <f t="shared" si="93"/>
        <v>7</v>
      </c>
      <c r="K30" s="5">
        <f t="shared" si="83"/>
        <v>10</v>
      </c>
      <c r="L30" s="5">
        <f t="shared" si="84"/>
        <v>9</v>
      </c>
      <c r="M30" s="5">
        <f t="shared" si="85"/>
        <v>7</v>
      </c>
      <c r="N30" s="5">
        <f t="shared" si="86"/>
        <v>5</v>
      </c>
      <c r="O30" s="53">
        <f t="shared" si="87"/>
        <v>6</v>
      </c>
      <c r="P30" s="3">
        <f t="shared" si="88"/>
        <v>7</v>
      </c>
      <c r="Q30" s="118" t="str">
        <f t="shared" si="89"/>
        <v>-</v>
      </c>
      <c r="R30" s="102" t="str">
        <f t="shared" si="90"/>
        <v>-</v>
      </c>
      <c r="T30" s="53" t="s">
        <v>99</v>
      </c>
      <c r="U30" s="53">
        <v>5</v>
      </c>
      <c r="V30" s="3">
        <v>9</v>
      </c>
      <c r="W30" s="5">
        <f t="shared" si="94"/>
        <v>5</v>
      </c>
      <c r="X30" s="3">
        <f t="shared" si="95"/>
        <v>9</v>
      </c>
      <c r="Z30" t="s">
        <v>481</v>
      </c>
      <c r="AA30">
        <v>2</v>
      </c>
      <c r="AG30" s="77">
        <v>4</v>
      </c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</row>
    <row r="31" spans="1:52">
      <c r="B31" s="36">
        <v>5</v>
      </c>
      <c r="C31" s="58" t="s">
        <v>93</v>
      </c>
      <c r="D31" s="65" t="s">
        <v>95</v>
      </c>
      <c r="E31" s="38" t="str">
        <f t="shared" si="96"/>
        <v>R</v>
      </c>
      <c r="F31" s="5">
        <f t="shared" si="82"/>
        <v>0</v>
      </c>
      <c r="G31" s="5">
        <f t="shared" si="91"/>
        <v>7</v>
      </c>
      <c r="H31" s="8">
        <f t="shared" si="92"/>
        <v>6.6944444444444446</v>
      </c>
      <c r="I31" s="89">
        <v>4</v>
      </c>
      <c r="J31" s="53">
        <f t="shared" si="93"/>
        <v>6</v>
      </c>
      <c r="K31" s="5">
        <f t="shared" si="83"/>
        <v>9</v>
      </c>
      <c r="L31" s="5">
        <f t="shared" si="84"/>
        <v>7</v>
      </c>
      <c r="M31" s="5">
        <f t="shared" si="85"/>
        <v>6</v>
      </c>
      <c r="N31" s="5">
        <f t="shared" si="86"/>
        <v>7</v>
      </c>
      <c r="O31" s="53">
        <f t="shared" si="87"/>
        <v>3</v>
      </c>
      <c r="P31" s="3">
        <f t="shared" si="88"/>
        <v>3</v>
      </c>
      <c r="Q31" s="118">
        <f t="shared" si="89"/>
        <v>10</v>
      </c>
      <c r="R31" s="102">
        <f t="shared" si="90"/>
        <v>10</v>
      </c>
      <c r="T31" s="53" t="s">
        <v>100</v>
      </c>
      <c r="U31" s="53">
        <v>6</v>
      </c>
      <c r="V31" s="3">
        <v>9</v>
      </c>
      <c r="W31" s="5">
        <f t="shared" si="94"/>
        <v>7</v>
      </c>
      <c r="X31" s="3">
        <f t="shared" si="95"/>
        <v>8</v>
      </c>
      <c r="Z31" t="s">
        <v>480</v>
      </c>
      <c r="AA31">
        <v>4</v>
      </c>
      <c r="AG31" s="78">
        <v>5</v>
      </c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4"/>
    </row>
    <row r="32" spans="1:52">
      <c r="B32" s="36">
        <v>6</v>
      </c>
      <c r="C32" s="58" t="s">
        <v>425</v>
      </c>
      <c r="D32" s="65" t="s">
        <v>101</v>
      </c>
      <c r="E32" s="38" t="str">
        <f t="shared" si="96"/>
        <v>L</v>
      </c>
      <c r="F32" s="5">
        <f t="shared" si="82"/>
        <v>1</v>
      </c>
      <c r="G32" s="5">
        <f t="shared" si="91"/>
        <v>1</v>
      </c>
      <c r="H32" s="8">
        <f t="shared" si="92"/>
        <v>7.2361111111111107</v>
      </c>
      <c r="I32" s="89">
        <v>6</v>
      </c>
      <c r="J32" s="53">
        <f t="shared" si="93"/>
        <v>8</v>
      </c>
      <c r="K32" s="5">
        <f t="shared" si="83"/>
        <v>7</v>
      </c>
      <c r="L32" s="5">
        <f t="shared" si="84"/>
        <v>7</v>
      </c>
      <c r="M32" s="5">
        <f t="shared" si="85"/>
        <v>6</v>
      </c>
      <c r="N32" s="5">
        <f t="shared" si="86"/>
        <v>8</v>
      </c>
      <c r="O32" s="53">
        <f t="shared" si="87"/>
        <v>7</v>
      </c>
      <c r="P32" s="3">
        <f t="shared" si="88"/>
        <v>10</v>
      </c>
      <c r="Q32" s="118">
        <f t="shared" si="89"/>
        <v>10</v>
      </c>
      <c r="R32" s="102">
        <f t="shared" si="90"/>
        <v>4</v>
      </c>
      <c r="T32" s="53" t="s">
        <v>101</v>
      </c>
      <c r="U32" s="53">
        <v>7</v>
      </c>
      <c r="V32" s="3">
        <v>10</v>
      </c>
      <c r="W32" s="5">
        <f t="shared" si="94"/>
        <v>10</v>
      </c>
      <c r="X32" s="3">
        <f t="shared" si="95"/>
        <v>4</v>
      </c>
      <c r="Z32" t="s">
        <v>484</v>
      </c>
      <c r="AA32">
        <v>6</v>
      </c>
    </row>
    <row r="33" spans="2:27">
      <c r="B33" s="36">
        <v>7</v>
      </c>
      <c r="C33" s="58" t="s">
        <v>428</v>
      </c>
      <c r="D33" s="65" t="s">
        <v>97</v>
      </c>
      <c r="E33" s="38" t="str">
        <f t="shared" si="96"/>
        <v>L</v>
      </c>
      <c r="F33" s="5">
        <f t="shared" si="82"/>
        <v>1</v>
      </c>
      <c r="G33" s="5">
        <f t="shared" si="91"/>
        <v>7</v>
      </c>
      <c r="H33" s="8">
        <f t="shared" si="92"/>
        <v>6.3611111111111107</v>
      </c>
      <c r="I33" s="89">
        <v>7</v>
      </c>
      <c r="J33" s="53">
        <f t="shared" si="93"/>
        <v>6</v>
      </c>
      <c r="K33" s="5">
        <f t="shared" si="83"/>
        <v>6</v>
      </c>
      <c r="L33" s="5">
        <f t="shared" si="84"/>
        <v>8</v>
      </c>
      <c r="M33" s="5">
        <f t="shared" si="85"/>
        <v>6</v>
      </c>
      <c r="N33" s="5">
        <f t="shared" si="86"/>
        <v>4</v>
      </c>
      <c r="O33" s="53">
        <f t="shared" si="87"/>
        <v>1</v>
      </c>
      <c r="P33" s="3">
        <f t="shared" si="88"/>
        <v>2</v>
      </c>
      <c r="Q33" s="118">
        <f t="shared" si="89"/>
        <v>7</v>
      </c>
      <c r="R33" s="102">
        <f t="shared" si="90"/>
        <v>3</v>
      </c>
      <c r="T33" s="53" t="s">
        <v>102</v>
      </c>
      <c r="U33" s="53">
        <v>8</v>
      </c>
      <c r="V33" s="3">
        <v>10</v>
      </c>
      <c r="W33" s="5">
        <f t="shared" si="94"/>
        <v>10</v>
      </c>
      <c r="X33" s="3">
        <f t="shared" si="95"/>
        <v>9</v>
      </c>
      <c r="Z33" t="s">
        <v>485</v>
      </c>
      <c r="AA33">
        <v>7</v>
      </c>
    </row>
    <row r="34" spans="2:27">
      <c r="B34" s="36">
        <v>8</v>
      </c>
      <c r="C34" s="58" t="s">
        <v>51</v>
      </c>
      <c r="D34" s="65" t="s">
        <v>98</v>
      </c>
      <c r="E34" s="38" t="str">
        <f t="shared" si="96"/>
        <v>R</v>
      </c>
      <c r="F34" s="5">
        <f t="shared" si="82"/>
        <v>1</v>
      </c>
      <c r="G34" s="5">
        <f t="shared" si="91"/>
        <v>2</v>
      </c>
      <c r="H34" s="8">
        <f t="shared" si="92"/>
        <v>6.4444444444444446</v>
      </c>
      <c r="I34" s="89">
        <v>8</v>
      </c>
      <c r="J34" s="53">
        <f t="shared" si="93"/>
        <v>7</v>
      </c>
      <c r="K34" s="5">
        <f t="shared" si="83"/>
        <v>6</v>
      </c>
      <c r="L34" s="5">
        <f t="shared" si="84"/>
        <v>5</v>
      </c>
      <c r="M34" s="5">
        <f t="shared" si="85"/>
        <v>7</v>
      </c>
      <c r="N34" s="5">
        <f t="shared" si="86"/>
        <v>8</v>
      </c>
      <c r="O34" s="53">
        <f t="shared" si="87"/>
        <v>3</v>
      </c>
      <c r="P34" s="3">
        <f t="shared" si="88"/>
        <v>4</v>
      </c>
      <c r="Q34" s="118">
        <f t="shared" si="89"/>
        <v>7</v>
      </c>
      <c r="R34" s="102">
        <f t="shared" si="90"/>
        <v>5</v>
      </c>
      <c r="T34" s="54" t="s">
        <v>103</v>
      </c>
      <c r="U34" s="54">
        <v>9</v>
      </c>
      <c r="V34" s="62">
        <v>10</v>
      </c>
      <c r="W34" s="41">
        <f t="shared" si="94"/>
        <v>10</v>
      </c>
      <c r="X34" s="62">
        <f t="shared" si="95"/>
        <v>10</v>
      </c>
      <c r="Z34" t="s">
        <v>486</v>
      </c>
      <c r="AA34">
        <v>8</v>
      </c>
    </row>
    <row r="35" spans="2:27">
      <c r="B35" s="39">
        <v>9</v>
      </c>
      <c r="C35" s="59" t="s">
        <v>521</v>
      </c>
      <c r="D35" s="40" t="s">
        <v>99</v>
      </c>
      <c r="E35" s="42" t="str">
        <f t="shared" si="96"/>
        <v>R</v>
      </c>
      <c r="F35" s="41">
        <f t="shared" si="82"/>
        <v>1</v>
      </c>
      <c r="G35" s="41">
        <f t="shared" si="91"/>
        <v>2</v>
      </c>
      <c r="H35" s="69">
        <f t="shared" si="92"/>
        <v>5.625</v>
      </c>
      <c r="I35" s="90">
        <v>9</v>
      </c>
      <c r="J35" s="54">
        <f t="shared" si="93"/>
        <v>7</v>
      </c>
      <c r="K35" s="41">
        <f t="shared" si="83"/>
        <v>6</v>
      </c>
      <c r="L35" s="41">
        <f t="shared" si="84"/>
        <v>2</v>
      </c>
      <c r="M35" s="41">
        <f t="shared" si="85"/>
        <v>7</v>
      </c>
      <c r="N35" s="41">
        <f t="shared" si="86"/>
        <v>7</v>
      </c>
      <c r="O35" s="54">
        <f t="shared" si="87"/>
        <v>3</v>
      </c>
      <c r="P35" s="62">
        <f t="shared" si="88"/>
        <v>5</v>
      </c>
      <c r="Q35" s="119">
        <f t="shared" si="89"/>
        <v>5</v>
      </c>
      <c r="R35" s="103">
        <f t="shared" si="90"/>
        <v>9</v>
      </c>
      <c r="Z35" t="s">
        <v>483</v>
      </c>
      <c r="AA35">
        <v>9</v>
      </c>
    </row>
    <row r="36" spans="2:27">
      <c r="B36" s="4"/>
      <c r="C36" s="37"/>
      <c r="D36" s="37"/>
      <c r="E36" s="37"/>
      <c r="F36" s="5"/>
      <c r="G36" s="5"/>
      <c r="H36" s="9"/>
    </row>
    <row r="37" spans="2:27" s="1" customFormat="1">
      <c r="B37" s="251" t="s">
        <v>523</v>
      </c>
      <c r="C37" s="44" t="s">
        <v>121</v>
      </c>
      <c r="D37" s="44" t="s">
        <v>122</v>
      </c>
      <c r="E37" s="50" t="s">
        <v>104</v>
      </c>
      <c r="F37" s="252" t="s">
        <v>159</v>
      </c>
      <c r="G37" s="252" t="s">
        <v>163</v>
      </c>
      <c r="H37" s="253" t="s">
        <v>161</v>
      </c>
      <c r="I37" s="88" t="s">
        <v>185</v>
      </c>
      <c r="J37" s="251" t="s">
        <v>95</v>
      </c>
      <c r="K37" s="252" t="s">
        <v>148</v>
      </c>
      <c r="L37" s="252" t="s">
        <v>149</v>
      </c>
      <c r="M37" s="252" t="s">
        <v>208</v>
      </c>
      <c r="N37" s="252" t="s">
        <v>96</v>
      </c>
      <c r="O37" s="251" t="s">
        <v>209</v>
      </c>
      <c r="P37" s="253" t="s">
        <v>210</v>
      </c>
      <c r="Q37" s="251" t="s">
        <v>218</v>
      </c>
      <c r="R37" s="87" t="s">
        <v>236</v>
      </c>
      <c r="T37" s="251" t="s">
        <v>122</v>
      </c>
      <c r="U37" s="251" t="s">
        <v>219</v>
      </c>
      <c r="V37" s="253" t="s">
        <v>243</v>
      </c>
      <c r="W37" s="252" t="s">
        <v>218</v>
      </c>
      <c r="X37" s="253" t="s">
        <v>236</v>
      </c>
      <c r="Z37" s="1" t="s">
        <v>477</v>
      </c>
    </row>
    <row r="38" spans="2:27">
      <c r="B38" s="36">
        <v>1</v>
      </c>
      <c r="C38" s="57" t="s">
        <v>494</v>
      </c>
      <c r="D38" s="33" t="s">
        <v>102</v>
      </c>
      <c r="E38" s="38" t="str">
        <f t="shared" ref="E38" si="97">IF($C38="","",VLOOKUP($C38,$C$3:$AK$24,$E$1-2,FALSE))</f>
        <v>L</v>
      </c>
      <c r="F38" s="256">
        <f t="shared" ref="F38:F46" si="98">IF($C38="","",VLOOKUP($C38,$C$3:$AK$24,18+$B38,FALSE))</f>
        <v>1</v>
      </c>
      <c r="G38" s="256">
        <f>IF($C38="","",IF(VLOOKUP($C38,$C$3:$AK$24,18+3,FALSE)=1,3,IF(VLOOKUP($C38,$C$3:$AK$24,18+4,FALSE)=1,4,IF(VLOOKUP($C38,$C$3:$AK$24,18+1,FALSE)=1,1,IF(VLOOKUP($C38,$C$3:$AK$24,18+5,FALSE)=1,5,IF(VLOOKUP($C38,$C$3:$AK$24,18+2,FALSE)=1,2,IF(VLOOKUP($C38,$C$3:$AK$24,18+6,FALSE)=1,6,IF(VLOOKUP($C38,$C$3:$AK$24,18+7,FALSE)=1,7,IF(VLOOKUP($C38,$C$3:$AK$24,18+8,FALSE)=1,8,9)))))))))</f>
        <v>1</v>
      </c>
      <c r="H38" s="8">
        <f>IF($C38="","",VLOOKUP($C38,$C$3:$AK$24,35,FALSE))</f>
        <v>6.4444444444444446</v>
      </c>
      <c r="I38" s="89">
        <v>3</v>
      </c>
      <c r="J38" s="53">
        <f>IF($C38="","",VLOOKUP($C38,$C$3:$AZ$24,17+AD$1,FALSE))</f>
        <v>6</v>
      </c>
      <c r="K38" s="256">
        <f t="shared" ref="K38:K46" si="99">IF($C38="","",VLOOKUP($C38,$C$3:$AZ$24,17+AE$1,FALSE))</f>
        <v>7</v>
      </c>
      <c r="L38" s="256">
        <f t="shared" ref="L38:L46" si="100">IF($C38="","",VLOOKUP($C38,$C$3:$AZ$24,17+AF$1,FALSE))</f>
        <v>6</v>
      </c>
      <c r="M38" s="256">
        <f t="shared" ref="M38:M46" si="101">IF($C38="","",VLOOKUP($C38,$C$3:$AZ$24,17+AG$1,FALSE))</f>
        <v>8</v>
      </c>
      <c r="N38" s="256">
        <f t="shared" ref="N38:N46" si="102">IF($C38="","",VLOOKUP($C38,$C$3:$AZ$24,17+AH$1,FALSE))</f>
        <v>5</v>
      </c>
      <c r="O38" s="53">
        <f t="shared" ref="O38:O46" si="103">IF($C38="","",VLOOKUP($C38,$C$3:$AZ$24,1+AI$1,FALSE))</f>
        <v>10</v>
      </c>
      <c r="P38" s="257">
        <f t="shared" ref="P38:P46" si="104">IF($C38="","",VLOOKUP($C38,$C$3:$AZ$24,1+AJ$1,FALSE))</f>
        <v>10</v>
      </c>
      <c r="Q38" s="117">
        <f t="shared" ref="Q38:Q46" si="105">IF($C38="","",IF($D38="DH","-",VLOOKUP($C38,$C$2:$AZ$24,9+VLOOKUP($D38,$T$26:$U$34,2,FALSE),FALSE)))</f>
        <v>10</v>
      </c>
      <c r="R38" s="102">
        <f t="shared" ref="R38:R46" si="106">IF($C38="","",IF($D38="DH","-",VLOOKUP($C38,$C$2:$AZ$24,VLOOKUP($D38,$T$26:$V$34,3,FALSE),FALSE)))</f>
        <v>9</v>
      </c>
      <c r="T38" s="53" t="s">
        <v>95</v>
      </c>
      <c r="U38" s="53">
        <v>2</v>
      </c>
      <c r="V38" s="257">
        <v>8</v>
      </c>
      <c r="W38" s="256">
        <f>VLOOKUP($T38,$D$26:$R$35,14,FALSE)</f>
        <v>10</v>
      </c>
      <c r="X38" s="257">
        <f>VLOOKUP($T38,$D$26:$R$35,15,FALSE)</f>
        <v>10</v>
      </c>
      <c r="Z38" t="s">
        <v>478</v>
      </c>
      <c r="AA38">
        <v>1</v>
      </c>
    </row>
    <row r="39" spans="2:27">
      <c r="B39" s="36">
        <v>2</v>
      </c>
      <c r="C39" s="58" t="s">
        <v>43</v>
      </c>
      <c r="D39" s="37" t="s">
        <v>100</v>
      </c>
      <c r="E39" s="38" t="str">
        <f>IF($C39="","",VLOOKUP($C39,$C$3:$AK$24,$E$1-2,FALSE))</f>
        <v>L</v>
      </c>
      <c r="F39" s="256">
        <f t="shared" si="98"/>
        <v>1</v>
      </c>
      <c r="G39" s="256">
        <f t="shared" ref="G39:G46" si="107">IF($C39="","",IF(VLOOKUP($C39,$C$3:$AK$24,18+3,FALSE)=1,3,IF(VLOOKUP($C39,$C$3:$AK$24,18+4,FALSE)=1,4,IF(VLOOKUP($C39,$C$3:$AK$24,18+1,FALSE)=1,1,IF(VLOOKUP($C39,$C$3:$AK$24,18+5,FALSE)=1,5,IF(VLOOKUP($C39,$C$3:$AK$24,18+2,FALSE)=1,2,IF(VLOOKUP($C39,$C$3:$AK$24,18+6,FALSE)=1,6,IF(VLOOKUP($C39,$C$3:$AK$24,18+7,FALSE)=1,7,IF(VLOOKUP($C39,$C$3:$AK$24,18+8,FALSE)=1,8,9)))))))))</f>
        <v>3</v>
      </c>
      <c r="H39" s="8">
        <f t="shared" ref="H39:H46" si="108">IF($C39="","",VLOOKUP($C39,$C$3:$AK$24,35,FALSE))</f>
        <v>8.0277777777777786</v>
      </c>
      <c r="I39" s="89">
        <v>5</v>
      </c>
      <c r="J39" s="53">
        <f t="shared" ref="J39:J46" si="109">IF($C39="","",VLOOKUP($C39,$C$3:$AZ$24,17+AD$1,FALSE))</f>
        <v>8</v>
      </c>
      <c r="K39" s="256">
        <f t="shared" si="99"/>
        <v>8</v>
      </c>
      <c r="L39" s="256">
        <f t="shared" si="100"/>
        <v>10</v>
      </c>
      <c r="M39" s="256">
        <f t="shared" si="101"/>
        <v>7</v>
      </c>
      <c r="N39" s="256">
        <f t="shared" si="102"/>
        <v>4</v>
      </c>
      <c r="O39" s="53">
        <f t="shared" si="103"/>
        <v>2</v>
      </c>
      <c r="P39" s="257">
        <f t="shared" si="104"/>
        <v>4</v>
      </c>
      <c r="Q39" s="118">
        <f t="shared" si="105"/>
        <v>7</v>
      </c>
      <c r="R39" s="102">
        <f t="shared" si="106"/>
        <v>8</v>
      </c>
      <c r="T39" s="53" t="s">
        <v>97</v>
      </c>
      <c r="U39" s="53">
        <v>3</v>
      </c>
      <c r="V39" s="257">
        <v>9</v>
      </c>
      <c r="W39" s="256">
        <f t="shared" ref="W39:W45" si="110">VLOOKUP($T39,$D$26:$R$35,14,FALSE)</f>
        <v>7</v>
      </c>
      <c r="X39" s="257">
        <f t="shared" ref="X39:X45" si="111">VLOOKUP($T39,$D$26:$R$35,15,FALSE)</f>
        <v>3</v>
      </c>
      <c r="Z39" t="s">
        <v>479</v>
      </c>
      <c r="AA39">
        <v>3</v>
      </c>
    </row>
    <row r="40" spans="2:27">
      <c r="B40" s="36">
        <v>3</v>
      </c>
      <c r="C40" s="58" t="s">
        <v>395</v>
      </c>
      <c r="D40" s="65" t="s">
        <v>103</v>
      </c>
      <c r="E40" s="38" t="str">
        <f t="shared" ref="E40:E46" si="112">IF($C40="","",VLOOKUP($C40,$C$3:$AK$24,$E$1-2,FALSE))</f>
        <v>L</v>
      </c>
      <c r="F40" s="256">
        <f t="shared" si="98"/>
        <v>0</v>
      </c>
      <c r="G40" s="256">
        <f t="shared" si="107"/>
        <v>1</v>
      </c>
      <c r="H40" s="8">
        <f t="shared" si="108"/>
        <v>7.208333333333333</v>
      </c>
      <c r="I40" s="89">
        <v>1</v>
      </c>
      <c r="J40" s="53">
        <f t="shared" si="109"/>
        <v>10</v>
      </c>
      <c r="K40" s="256">
        <f t="shared" si="99"/>
        <v>7</v>
      </c>
      <c r="L40" s="256">
        <f t="shared" si="100"/>
        <v>4</v>
      </c>
      <c r="M40" s="256">
        <f t="shared" si="101"/>
        <v>6</v>
      </c>
      <c r="N40" s="256">
        <f t="shared" si="102"/>
        <v>8</v>
      </c>
      <c r="O40" s="53">
        <f t="shared" si="103"/>
        <v>7</v>
      </c>
      <c r="P40" s="257">
        <f t="shared" si="104"/>
        <v>9</v>
      </c>
      <c r="Q40" s="118">
        <f t="shared" si="105"/>
        <v>10</v>
      </c>
      <c r="R40" s="102">
        <f t="shared" si="106"/>
        <v>10</v>
      </c>
      <c r="T40" s="53" t="s">
        <v>98</v>
      </c>
      <c r="U40" s="53">
        <v>4</v>
      </c>
      <c r="V40" s="257">
        <v>9</v>
      </c>
      <c r="W40" s="256">
        <f t="shared" si="110"/>
        <v>7</v>
      </c>
      <c r="X40" s="257">
        <f t="shared" si="111"/>
        <v>5</v>
      </c>
      <c r="Z40" t="s">
        <v>482</v>
      </c>
      <c r="AA40">
        <v>5</v>
      </c>
    </row>
    <row r="41" spans="2:27">
      <c r="B41" s="36">
        <v>4</v>
      </c>
      <c r="C41" s="58" t="s">
        <v>592</v>
      </c>
      <c r="D41" s="65" t="s">
        <v>18</v>
      </c>
      <c r="E41" s="38" t="str">
        <f t="shared" si="112"/>
        <v>L</v>
      </c>
      <c r="F41" s="256">
        <f t="shared" si="98"/>
        <v>1</v>
      </c>
      <c r="G41" s="256">
        <f t="shared" si="107"/>
        <v>3</v>
      </c>
      <c r="H41" s="8">
        <f t="shared" si="108"/>
        <v>7.7361111111111107</v>
      </c>
      <c r="I41" s="89">
        <v>2</v>
      </c>
      <c r="J41" s="53">
        <f t="shared" si="109"/>
        <v>7</v>
      </c>
      <c r="K41" s="256">
        <f t="shared" si="99"/>
        <v>10</v>
      </c>
      <c r="L41" s="256">
        <f t="shared" si="100"/>
        <v>9</v>
      </c>
      <c r="M41" s="256">
        <f t="shared" si="101"/>
        <v>7</v>
      </c>
      <c r="N41" s="256">
        <f t="shared" si="102"/>
        <v>5</v>
      </c>
      <c r="O41" s="53">
        <f t="shared" si="103"/>
        <v>6</v>
      </c>
      <c r="P41" s="257">
        <f t="shared" si="104"/>
        <v>7</v>
      </c>
      <c r="Q41" s="118" t="str">
        <f t="shared" si="105"/>
        <v>-</v>
      </c>
      <c r="R41" s="102" t="str">
        <f t="shared" si="106"/>
        <v>-</v>
      </c>
      <c r="T41" s="53" t="s">
        <v>99</v>
      </c>
      <c r="U41" s="53">
        <v>5</v>
      </c>
      <c r="V41" s="257">
        <v>9</v>
      </c>
      <c r="W41" s="256">
        <f t="shared" si="110"/>
        <v>5</v>
      </c>
      <c r="X41" s="257">
        <f t="shared" si="111"/>
        <v>9</v>
      </c>
      <c r="Z41" t="s">
        <v>481</v>
      </c>
      <c r="AA41">
        <v>2</v>
      </c>
    </row>
    <row r="42" spans="2:27">
      <c r="B42" s="36">
        <v>5</v>
      </c>
      <c r="C42" s="58" t="s">
        <v>93</v>
      </c>
      <c r="D42" s="65" t="s">
        <v>95</v>
      </c>
      <c r="E42" s="38" t="str">
        <f t="shared" si="112"/>
        <v>R</v>
      </c>
      <c r="F42" s="256">
        <f t="shared" si="98"/>
        <v>0</v>
      </c>
      <c r="G42" s="256">
        <f t="shared" si="107"/>
        <v>7</v>
      </c>
      <c r="H42" s="8">
        <f t="shared" si="108"/>
        <v>6.6944444444444446</v>
      </c>
      <c r="I42" s="89">
        <v>4</v>
      </c>
      <c r="J42" s="53">
        <f t="shared" si="109"/>
        <v>6</v>
      </c>
      <c r="K42" s="256">
        <f t="shared" si="99"/>
        <v>9</v>
      </c>
      <c r="L42" s="256">
        <f t="shared" si="100"/>
        <v>7</v>
      </c>
      <c r="M42" s="256">
        <f t="shared" si="101"/>
        <v>6</v>
      </c>
      <c r="N42" s="256">
        <f t="shared" si="102"/>
        <v>7</v>
      </c>
      <c r="O42" s="53">
        <f t="shared" si="103"/>
        <v>3</v>
      </c>
      <c r="P42" s="257">
        <f t="shared" si="104"/>
        <v>3</v>
      </c>
      <c r="Q42" s="118">
        <f t="shared" si="105"/>
        <v>10</v>
      </c>
      <c r="R42" s="102">
        <f t="shared" si="106"/>
        <v>10</v>
      </c>
      <c r="T42" s="53" t="s">
        <v>100</v>
      </c>
      <c r="U42" s="53">
        <v>6</v>
      </c>
      <c r="V42" s="257">
        <v>9</v>
      </c>
      <c r="W42" s="256">
        <f t="shared" si="110"/>
        <v>7</v>
      </c>
      <c r="X42" s="257">
        <f t="shared" si="111"/>
        <v>8</v>
      </c>
      <c r="Z42" t="s">
        <v>480</v>
      </c>
      <c r="AA42">
        <v>4</v>
      </c>
    </row>
    <row r="43" spans="2:27">
      <c r="B43" s="36">
        <v>6</v>
      </c>
      <c r="C43" s="58" t="s">
        <v>425</v>
      </c>
      <c r="D43" s="65" t="s">
        <v>101</v>
      </c>
      <c r="E43" s="38" t="str">
        <f t="shared" si="112"/>
        <v>L</v>
      </c>
      <c r="F43" s="256">
        <f t="shared" si="98"/>
        <v>1</v>
      </c>
      <c r="G43" s="256">
        <f t="shared" si="107"/>
        <v>1</v>
      </c>
      <c r="H43" s="8">
        <f t="shared" si="108"/>
        <v>7.2361111111111107</v>
      </c>
      <c r="I43" s="89">
        <v>6</v>
      </c>
      <c r="J43" s="53">
        <f t="shared" si="109"/>
        <v>8</v>
      </c>
      <c r="K43" s="256">
        <f t="shared" si="99"/>
        <v>7</v>
      </c>
      <c r="L43" s="256">
        <f t="shared" si="100"/>
        <v>7</v>
      </c>
      <c r="M43" s="256">
        <f t="shared" si="101"/>
        <v>6</v>
      </c>
      <c r="N43" s="256">
        <f t="shared" si="102"/>
        <v>8</v>
      </c>
      <c r="O43" s="53">
        <f t="shared" si="103"/>
        <v>7</v>
      </c>
      <c r="P43" s="257">
        <f t="shared" si="104"/>
        <v>10</v>
      </c>
      <c r="Q43" s="118">
        <f t="shared" si="105"/>
        <v>10</v>
      </c>
      <c r="R43" s="102">
        <f t="shared" si="106"/>
        <v>4</v>
      </c>
      <c r="T43" s="53" t="s">
        <v>101</v>
      </c>
      <c r="U43" s="53">
        <v>7</v>
      </c>
      <c r="V43" s="257">
        <v>10</v>
      </c>
      <c r="W43" s="256">
        <f t="shared" si="110"/>
        <v>10</v>
      </c>
      <c r="X43" s="257">
        <f t="shared" si="111"/>
        <v>4</v>
      </c>
      <c r="Z43" t="s">
        <v>484</v>
      </c>
      <c r="AA43">
        <v>6</v>
      </c>
    </row>
    <row r="44" spans="2:27">
      <c r="B44" s="36">
        <v>7</v>
      </c>
      <c r="C44" s="58" t="s">
        <v>428</v>
      </c>
      <c r="D44" s="65" t="s">
        <v>97</v>
      </c>
      <c r="E44" s="38" t="str">
        <f t="shared" si="112"/>
        <v>L</v>
      </c>
      <c r="F44" s="256">
        <f t="shared" si="98"/>
        <v>1</v>
      </c>
      <c r="G44" s="256">
        <f t="shared" si="107"/>
        <v>7</v>
      </c>
      <c r="H44" s="8">
        <f t="shared" si="108"/>
        <v>6.3611111111111107</v>
      </c>
      <c r="I44" s="89">
        <v>7</v>
      </c>
      <c r="J44" s="53">
        <f t="shared" si="109"/>
        <v>6</v>
      </c>
      <c r="K44" s="256">
        <f t="shared" si="99"/>
        <v>6</v>
      </c>
      <c r="L44" s="256">
        <f t="shared" si="100"/>
        <v>8</v>
      </c>
      <c r="M44" s="256">
        <f t="shared" si="101"/>
        <v>6</v>
      </c>
      <c r="N44" s="256">
        <f t="shared" si="102"/>
        <v>4</v>
      </c>
      <c r="O44" s="53">
        <f t="shared" si="103"/>
        <v>1</v>
      </c>
      <c r="P44" s="257">
        <f t="shared" si="104"/>
        <v>2</v>
      </c>
      <c r="Q44" s="118">
        <f t="shared" si="105"/>
        <v>7</v>
      </c>
      <c r="R44" s="102">
        <f t="shared" si="106"/>
        <v>3</v>
      </c>
      <c r="T44" s="53" t="s">
        <v>102</v>
      </c>
      <c r="U44" s="53">
        <v>8</v>
      </c>
      <c r="V44" s="257">
        <v>10</v>
      </c>
      <c r="W44" s="256">
        <f t="shared" si="110"/>
        <v>10</v>
      </c>
      <c r="X44" s="257">
        <f t="shared" si="111"/>
        <v>9</v>
      </c>
      <c r="Z44" t="s">
        <v>485</v>
      </c>
      <c r="AA44">
        <v>7</v>
      </c>
    </row>
    <row r="45" spans="2:27">
      <c r="B45" s="36">
        <v>8</v>
      </c>
      <c r="C45" s="58" t="s">
        <v>51</v>
      </c>
      <c r="D45" s="65" t="s">
        <v>98</v>
      </c>
      <c r="E45" s="38" t="str">
        <f t="shared" si="112"/>
        <v>R</v>
      </c>
      <c r="F45" s="256">
        <f t="shared" si="98"/>
        <v>1</v>
      </c>
      <c r="G45" s="256">
        <f t="shared" si="107"/>
        <v>2</v>
      </c>
      <c r="H45" s="8">
        <f t="shared" si="108"/>
        <v>6.4444444444444446</v>
      </c>
      <c r="I45" s="89">
        <v>8</v>
      </c>
      <c r="J45" s="53">
        <f t="shared" si="109"/>
        <v>7</v>
      </c>
      <c r="K45" s="256">
        <f t="shared" si="99"/>
        <v>6</v>
      </c>
      <c r="L45" s="256">
        <f t="shared" si="100"/>
        <v>5</v>
      </c>
      <c r="M45" s="256">
        <f t="shared" si="101"/>
        <v>7</v>
      </c>
      <c r="N45" s="256">
        <f t="shared" si="102"/>
        <v>8</v>
      </c>
      <c r="O45" s="53">
        <f t="shared" si="103"/>
        <v>3</v>
      </c>
      <c r="P45" s="257">
        <f t="shared" si="104"/>
        <v>4</v>
      </c>
      <c r="Q45" s="118">
        <f t="shared" si="105"/>
        <v>7</v>
      </c>
      <c r="R45" s="102">
        <f t="shared" si="106"/>
        <v>5</v>
      </c>
      <c r="T45" s="54" t="s">
        <v>103</v>
      </c>
      <c r="U45" s="54">
        <v>9</v>
      </c>
      <c r="V45" s="255">
        <v>10</v>
      </c>
      <c r="W45" s="254">
        <f t="shared" si="110"/>
        <v>10</v>
      </c>
      <c r="X45" s="255">
        <f t="shared" si="111"/>
        <v>10</v>
      </c>
      <c r="Z45" t="s">
        <v>486</v>
      </c>
      <c r="AA45">
        <v>8</v>
      </c>
    </row>
    <row r="46" spans="2:27">
      <c r="B46" s="39">
        <v>9</v>
      </c>
      <c r="C46" s="59" t="s">
        <v>521</v>
      </c>
      <c r="D46" s="40" t="s">
        <v>99</v>
      </c>
      <c r="E46" s="42" t="str">
        <f t="shared" si="112"/>
        <v>R</v>
      </c>
      <c r="F46" s="254">
        <f t="shared" si="98"/>
        <v>1</v>
      </c>
      <c r="G46" s="254">
        <f t="shared" si="107"/>
        <v>2</v>
      </c>
      <c r="H46" s="69">
        <f t="shared" si="108"/>
        <v>5.625</v>
      </c>
      <c r="I46" s="90">
        <v>9</v>
      </c>
      <c r="J46" s="54">
        <f t="shared" si="109"/>
        <v>7</v>
      </c>
      <c r="K46" s="254">
        <f t="shared" si="99"/>
        <v>6</v>
      </c>
      <c r="L46" s="254">
        <f t="shared" si="100"/>
        <v>2</v>
      </c>
      <c r="M46" s="254">
        <f t="shared" si="101"/>
        <v>7</v>
      </c>
      <c r="N46" s="254">
        <f t="shared" si="102"/>
        <v>7</v>
      </c>
      <c r="O46" s="54">
        <f t="shared" si="103"/>
        <v>3</v>
      </c>
      <c r="P46" s="255">
        <f t="shared" si="104"/>
        <v>5</v>
      </c>
      <c r="Q46" s="119">
        <f t="shared" si="105"/>
        <v>5</v>
      </c>
      <c r="R46" s="103">
        <f t="shared" si="106"/>
        <v>9</v>
      </c>
      <c r="Z46" t="s">
        <v>483</v>
      </c>
      <c r="AA46">
        <v>9</v>
      </c>
    </row>
    <row r="47" spans="2:27">
      <c r="B47" s="4"/>
      <c r="C47" s="37"/>
      <c r="D47" s="37"/>
      <c r="E47" s="37"/>
      <c r="F47" s="256"/>
      <c r="G47" s="256"/>
      <c r="H47" s="9"/>
    </row>
    <row r="48" spans="2:27">
      <c r="B48" s="32" t="s">
        <v>197</v>
      </c>
      <c r="C48" s="35">
        <f>COUNTA(C3:C11,C14:C19,C22:C24)</f>
        <v>14</v>
      </c>
      <c r="D48" s="318">
        <f>C48/$C$50</f>
        <v>0.53846153846153844</v>
      </c>
      <c r="E48" s="37"/>
      <c r="F48" s="5"/>
      <c r="G48" s="5"/>
      <c r="H48" s="9"/>
    </row>
    <row r="49" spans="1:33">
      <c r="B49" s="36" t="s">
        <v>198</v>
      </c>
      <c r="C49" s="38">
        <f>COUNTA(C53:C58,C61:C62,C65:C70)</f>
        <v>12</v>
      </c>
      <c r="D49" s="318">
        <f>C49/$C$50</f>
        <v>0.46153846153846156</v>
      </c>
      <c r="E49" s="37"/>
      <c r="F49" s="5"/>
      <c r="G49" s="5"/>
      <c r="H49" s="9"/>
    </row>
    <row r="50" spans="1:33">
      <c r="B50" s="39" t="s">
        <v>199</v>
      </c>
      <c r="C50" s="42">
        <f>C48+C49</f>
        <v>26</v>
      </c>
      <c r="D50" s="37"/>
      <c r="E50" s="37"/>
      <c r="F50" s="5"/>
      <c r="G50" s="5"/>
      <c r="H50" s="9"/>
    </row>
    <row r="51" spans="1:33">
      <c r="I51">
        <v>6</v>
      </c>
      <c r="K51">
        <v>11</v>
      </c>
      <c r="L51">
        <v>12</v>
      </c>
      <c r="M51">
        <v>13</v>
      </c>
      <c r="N51">
        <v>17</v>
      </c>
      <c r="O51">
        <f>N51+2</f>
        <v>19</v>
      </c>
      <c r="P51">
        <f t="shared" ref="P51:Y51" si="113">O51+2</f>
        <v>21</v>
      </c>
      <c r="Q51">
        <f t="shared" si="113"/>
        <v>23</v>
      </c>
      <c r="R51">
        <f t="shared" si="113"/>
        <v>25</v>
      </c>
      <c r="S51">
        <f t="shared" si="113"/>
        <v>27</v>
      </c>
      <c r="T51">
        <f t="shared" si="113"/>
        <v>29</v>
      </c>
      <c r="U51">
        <f t="shared" si="113"/>
        <v>31</v>
      </c>
      <c r="V51">
        <f t="shared" si="113"/>
        <v>33</v>
      </c>
      <c r="W51">
        <f t="shared" si="113"/>
        <v>35</v>
      </c>
      <c r="X51">
        <f t="shared" si="113"/>
        <v>37</v>
      </c>
      <c r="Y51">
        <f t="shared" si="113"/>
        <v>39</v>
      </c>
      <c r="Z51">
        <v>41</v>
      </c>
      <c r="AA51">
        <v>42</v>
      </c>
      <c r="AB51">
        <v>43</v>
      </c>
      <c r="AC51">
        <v>46</v>
      </c>
      <c r="AD51">
        <v>14</v>
      </c>
      <c r="AE51">
        <v>15</v>
      </c>
      <c r="AF51">
        <v>16</v>
      </c>
      <c r="AG51">
        <v>48</v>
      </c>
    </row>
    <row r="52" spans="1:33" s="5" customFormat="1" ht="74.25">
      <c r="A52" s="73" t="s">
        <v>196</v>
      </c>
      <c r="B52" s="43" t="s">
        <v>129</v>
      </c>
      <c r="C52" s="44" t="s">
        <v>121</v>
      </c>
      <c r="D52" s="44" t="s">
        <v>94</v>
      </c>
      <c r="E52" s="50" t="s">
        <v>105</v>
      </c>
      <c r="F52" s="46" t="s">
        <v>186</v>
      </c>
      <c r="G52" s="46" t="s">
        <v>187</v>
      </c>
      <c r="H52" s="46" t="s">
        <v>188</v>
      </c>
      <c r="I52" s="76" t="s">
        <v>217</v>
      </c>
      <c r="J52" s="76" t="s">
        <v>192</v>
      </c>
      <c r="K52" s="74" t="s">
        <v>189</v>
      </c>
      <c r="L52" s="74" t="s">
        <v>190</v>
      </c>
      <c r="M52" s="75" t="s">
        <v>191</v>
      </c>
      <c r="N52" s="74" t="s">
        <v>63</v>
      </c>
      <c r="O52" s="74" t="s">
        <v>65</v>
      </c>
      <c r="P52" s="74" t="s">
        <v>67</v>
      </c>
      <c r="Q52" s="74" t="s">
        <v>69</v>
      </c>
      <c r="R52" s="74" t="s">
        <v>71</v>
      </c>
      <c r="S52" s="74" t="s">
        <v>111</v>
      </c>
      <c r="T52" s="74" t="s">
        <v>74</v>
      </c>
      <c r="U52" s="74" t="s">
        <v>76</v>
      </c>
      <c r="V52" s="74" t="s">
        <v>78</v>
      </c>
      <c r="W52" s="74" t="s">
        <v>80</v>
      </c>
      <c r="X52" s="74" t="s">
        <v>82</v>
      </c>
      <c r="Y52" s="75" t="s">
        <v>84</v>
      </c>
      <c r="Z52" s="79" t="s">
        <v>203</v>
      </c>
      <c r="AA52" s="74" t="s">
        <v>202</v>
      </c>
      <c r="AB52" s="75" t="s">
        <v>204</v>
      </c>
      <c r="AC52" s="319" t="s">
        <v>647</v>
      </c>
      <c r="AD52" s="74" t="s">
        <v>189</v>
      </c>
      <c r="AE52" s="74" t="s">
        <v>190</v>
      </c>
      <c r="AF52" s="75" t="s">
        <v>191</v>
      </c>
      <c r="AG52" s="319" t="s">
        <v>201</v>
      </c>
    </row>
    <row r="53" spans="1:33">
      <c r="A53" s="5">
        <v>1</v>
      </c>
      <c r="B53" s="36" t="s">
        <v>111</v>
      </c>
      <c r="C53" s="243" t="s">
        <v>4</v>
      </c>
      <c r="D53" s="37">
        <f>IF($C53="","",VLOOKUP($C53,CTPit!$E$10:$BG$214,D$1,FALSE))</f>
        <v>25</v>
      </c>
      <c r="E53" s="38" t="str">
        <f>IF($C53="","",VLOOKUP($C53,CTPit!$E$10:$BG$214,E$1+1,FALSE))</f>
        <v>R</v>
      </c>
      <c r="F53" s="5">
        <f t="shared" ref="F53:F58" si="114">IF($C53="","",IF(AVERAGE(K53:M53)&gt;7,1,0))</f>
        <v>1</v>
      </c>
      <c r="G53" s="5">
        <f t="shared" ref="G53:G58" si="115">IF($C53="","",IF(AVERAGE(K53:M53)&gt;6.5,1,0))</f>
        <v>1</v>
      </c>
      <c r="H53" s="5">
        <f t="shared" ref="H53:H58" si="116">IF($C53="","",IF(AVERAGE(K53:M53)&gt;6,1,0))</f>
        <v>1</v>
      </c>
      <c r="I53" s="99" t="str">
        <f>IF($C53="","",VLOOKUP($C53,CTPit!$E$10:$BG$72,I$51,FALSE))</f>
        <v>R</v>
      </c>
      <c r="J53" s="77">
        <f t="shared" ref="J53:J58" si="117">IF($C53="","",COUNT(N53:Y53))</f>
        <v>5</v>
      </c>
      <c r="K53" s="5">
        <f>IF($C53="","",VLOOKUP($C53,CTPit!$E$10:$BG$72,K$51,FALSE))</f>
        <v>8</v>
      </c>
      <c r="L53" s="5">
        <f>IF($C53="","",VLOOKUP($C53,CTPit!$E$10:$BG$72,L$51,FALSE))</f>
        <v>7</v>
      </c>
      <c r="M53" s="3">
        <f>IF($C53="","",VLOOKUP($C53,CTPit!$E$10:$BG$72,M$51,FALSE))</f>
        <v>8</v>
      </c>
      <c r="N53" s="5">
        <f>IF($C53="","",VLOOKUP($C53,CTPit!$E$10:$BG$72,N$51,FALSE))</f>
        <v>8</v>
      </c>
      <c r="O53" s="5">
        <f>IF($C53="","",VLOOKUP($C53,CTPit!$E$10:$BG$72,O$51,FALSE))</f>
        <v>8</v>
      </c>
      <c r="P53" s="5" t="str">
        <f>IF($C53="","",VLOOKUP($C53,CTPit!$E$10:$BG$72,P$51,FALSE))</f>
        <v>-</v>
      </c>
      <c r="Q53" s="5">
        <f>IF($C53="","",VLOOKUP($C53,CTPit!$E$10:$BG$72,Q$51,FALSE))</f>
        <v>8</v>
      </c>
      <c r="R53" s="5">
        <f>IF($C53="","",VLOOKUP($C53,CTPit!$E$10:$BG$72,R$51,FALSE))</f>
        <v>7</v>
      </c>
      <c r="S53" s="5" t="str">
        <f>IF($C53="","",VLOOKUP($C53,CTPit!$E$10:$BG$72,S$51,FALSE))</f>
        <v>-</v>
      </c>
      <c r="T53" s="5" t="str">
        <f>IF($C53="","",VLOOKUP($C53,CTPit!$E$10:$BG$72,T$51,FALSE))</f>
        <v>-</v>
      </c>
      <c r="U53" s="5" t="str">
        <f>IF($C53="","",VLOOKUP($C53,CTPit!$E$10:$BG$72,U$51,FALSE))</f>
        <v>-</v>
      </c>
      <c r="V53" s="5">
        <f>IF($C53="","",VLOOKUP($C53,CTPit!$E$10:$BG$72,V$51,FALSE))</f>
        <v>2</v>
      </c>
      <c r="W53" s="5" t="str">
        <f>IF($C53="","",VLOOKUP($C53,CTPit!$E$10:$BG$72,W$51,FALSE))</f>
        <v>-</v>
      </c>
      <c r="X53" s="5" t="str">
        <f>IF($C53="","",VLOOKUP($C53,CTPit!$E$10:$BG$72,X$51,FALSE))</f>
        <v>-</v>
      </c>
      <c r="Y53" s="3" t="str">
        <f>IF($C53="","",VLOOKUP($C53,CTPit!$E$10:$BG$72,Y$51,FALSE))</f>
        <v>-</v>
      </c>
      <c r="Z53" s="53" t="str">
        <f>IF($C53="","",VLOOKUP($C53,CTPit!$E$10:$BG$72,Z$51,FALSE))</f>
        <v>95-97 Mph</v>
      </c>
      <c r="AA53" s="5">
        <f>IF($C53="","",VLOOKUP($C53,CTPit!$E$10:$BG$72,AA$51,FALSE))</f>
        <v>7</v>
      </c>
      <c r="AB53" s="80">
        <f>IF($C53="","",VLOOKUP($C53,CTPit!$E$10:$BG$72,AB$51,FALSE))</f>
        <v>0.61</v>
      </c>
      <c r="AC53" s="320">
        <f>IF($C53="","",VLOOKUP($C53,CTPit!$E$10:$BG$72,AC$51,FALSE))</f>
        <v>8.6666666666666679</v>
      </c>
      <c r="AD53" s="288">
        <f>IF($C53="","",VLOOKUP($C53,CTPit!$E$10:$BG$72,AD$51,FALSE))</f>
        <v>8</v>
      </c>
      <c r="AE53" s="288">
        <f>IF($C53="","",VLOOKUP($C53,CTPit!$E$10:$BG$72,AE$51,FALSE))</f>
        <v>7</v>
      </c>
      <c r="AF53" s="289">
        <f>IF($C53="","",VLOOKUP($C53,CTPit!$E$10:$BG$72,AF$51,FALSE))</f>
        <v>8</v>
      </c>
      <c r="AG53" s="320">
        <f>IF($C53="","",VLOOKUP($C53,CTPit!$E$10:$BG$72,AG$51,FALSE))</f>
        <v>8.6666666666666679</v>
      </c>
    </row>
    <row r="54" spans="1:33">
      <c r="A54" s="5">
        <v>2</v>
      </c>
      <c r="B54" s="36" t="s">
        <v>111</v>
      </c>
      <c r="C54" s="37" t="s">
        <v>347</v>
      </c>
      <c r="D54" s="37">
        <f>IF($C54="","",VLOOKUP($C54,CTPit!$E$10:$BG$214,D$1,FALSE))</f>
        <v>25</v>
      </c>
      <c r="E54" s="38" t="str">
        <f>IF($C54="","",VLOOKUP($C54,CTPit!$E$10:$BG$214,E$1+1,FALSE))</f>
        <v>R</v>
      </c>
      <c r="F54" s="5">
        <f t="shared" si="114"/>
        <v>0</v>
      </c>
      <c r="G54" s="5">
        <f t="shared" si="115"/>
        <v>1</v>
      </c>
      <c r="H54" s="5">
        <f t="shared" si="116"/>
        <v>1</v>
      </c>
      <c r="I54" s="100" t="str">
        <f>IF($C54="","",VLOOKUP($C54,CTPit!$E$10:$BG$72,I$51,FALSE))</f>
        <v>R</v>
      </c>
      <c r="J54" s="77">
        <f t="shared" si="117"/>
        <v>4</v>
      </c>
      <c r="K54" s="5">
        <f>IF($C54="","",VLOOKUP($C54,CTPit!$E$10:$BG$72,K$51,FALSE))</f>
        <v>8</v>
      </c>
      <c r="L54" s="5">
        <f>IF($C54="","",VLOOKUP($C54,CTPit!$E$10:$BG$72,L$51,FALSE))</f>
        <v>6</v>
      </c>
      <c r="M54" s="3">
        <f>IF($C54="","",VLOOKUP($C54,CTPit!$E$10:$BG$72,M$51,FALSE))</f>
        <v>6</v>
      </c>
      <c r="N54" s="5">
        <f>IF($C54="","",VLOOKUP($C54,CTPit!$E$10:$BG$72,N$51,FALSE))</f>
        <v>9</v>
      </c>
      <c r="O54" s="5">
        <f>IF($C54="","",VLOOKUP($C54,CTPit!$E$10:$BG$72,O$51,FALSE))</f>
        <v>8</v>
      </c>
      <c r="P54" s="5" t="str">
        <f>IF($C54="","",VLOOKUP($C54,CTPit!$E$10:$BG$72,P$51,FALSE))</f>
        <v>-</v>
      </c>
      <c r="Q54" s="5">
        <f>IF($C54="","",VLOOKUP($C54,CTPit!$E$10:$BG$72,Q$51,FALSE))</f>
        <v>8</v>
      </c>
      <c r="R54" s="5" t="str">
        <f>IF($C54="","",VLOOKUP($C54,CTPit!$E$10:$BG$72,R$51,FALSE))</f>
        <v>-</v>
      </c>
      <c r="S54" s="5">
        <f>IF($C54="","",VLOOKUP($C54,CTPit!$E$10:$BG$72,S$51,FALSE))</f>
        <v>5</v>
      </c>
      <c r="T54" s="5" t="str">
        <f>IF($C54="","",VLOOKUP($C54,CTPit!$E$10:$BG$72,T$51,FALSE))</f>
        <v>-</v>
      </c>
      <c r="U54" s="5" t="str">
        <f>IF($C54="","",VLOOKUP($C54,CTPit!$E$10:$BG$72,U$51,FALSE))</f>
        <v>-</v>
      </c>
      <c r="V54" s="5" t="str">
        <f>IF($C54="","",VLOOKUP($C54,CTPit!$E$10:$BG$72,V$51,FALSE))</f>
        <v>-</v>
      </c>
      <c r="W54" s="5" t="str">
        <f>IF($C54="","",VLOOKUP($C54,CTPit!$E$10:$BG$72,W$51,FALSE))</f>
        <v>-</v>
      </c>
      <c r="X54" s="5" t="str">
        <f>IF($C54="","",VLOOKUP($C54,CTPit!$E$10:$BG$72,X$51,FALSE))</f>
        <v>-</v>
      </c>
      <c r="Y54" s="3" t="str">
        <f>IF($C54="","",VLOOKUP($C54,CTPit!$E$10:$BG$72,Y$51,FALSE))</f>
        <v>-</v>
      </c>
      <c r="Z54" s="53" t="str">
        <f>IF($C54="","",VLOOKUP($C54,CTPit!$E$10:$BG$72,Z$51,FALSE))</f>
        <v>96-98 Mph</v>
      </c>
      <c r="AA54" s="5">
        <f>IF($C54="","",VLOOKUP($C54,CTPit!$E$10:$BG$72,AA$51,FALSE))</f>
        <v>8</v>
      </c>
      <c r="AB54" s="80">
        <f>IF($C54="","",VLOOKUP($C54,CTPit!$E$10:$BG$72,AB$51,FALSE))</f>
        <v>0.38</v>
      </c>
      <c r="AC54" s="67">
        <f>IF($C54="","",VLOOKUP($C54,CTPit!$E$10:$BG$72,AC$51,FALSE))</f>
        <v>7.166666666666667</v>
      </c>
      <c r="AD54" s="288">
        <f>IF($C54="","",VLOOKUP($C54,CTPit!$E$10:$BG$72,AD$51,FALSE))</f>
        <v>8</v>
      </c>
      <c r="AE54" s="288">
        <f>IF($C54="","",VLOOKUP($C54,CTPit!$E$10:$BG$72,AE$51,FALSE))</f>
        <v>6</v>
      </c>
      <c r="AF54" s="289">
        <f>IF($C54="","",VLOOKUP($C54,CTPit!$E$10:$BG$72,AF$51,FALSE))</f>
        <v>6</v>
      </c>
      <c r="AG54" s="67">
        <f>IF($C54="","",VLOOKUP($C54,CTPit!$E$10:$BG$72,AG$51,FALSE))</f>
        <v>7.166666666666667</v>
      </c>
    </row>
    <row r="55" spans="1:33">
      <c r="A55" s="5">
        <v>3</v>
      </c>
      <c r="B55" s="36" t="s">
        <v>111</v>
      </c>
      <c r="C55" s="270" t="s">
        <v>526</v>
      </c>
      <c r="D55" s="37">
        <f>IF($C55="","",VLOOKUP($C55,CTPit!$E$10:$BG$214,D$1,FALSE))</f>
        <v>24</v>
      </c>
      <c r="E55" s="38" t="str">
        <f>IF($C55="","",VLOOKUP($C55,CTPit!$E$10:$BG$214,E$1+1,FALSE))</f>
        <v>R</v>
      </c>
      <c r="F55" s="5">
        <f t="shared" si="114"/>
        <v>0</v>
      </c>
      <c r="G55" s="5">
        <f t="shared" si="115"/>
        <v>1</v>
      </c>
      <c r="H55" s="5">
        <f>IF($C55="","",IF(AVERAGE(K55:M55)&gt;6,1,0))</f>
        <v>1</v>
      </c>
      <c r="I55" s="100" t="str">
        <f>IF($C55="","",VLOOKUP($C55,CTPit!$E$10:$BG$72,I$51,FALSE))</f>
        <v>R</v>
      </c>
      <c r="J55" s="77">
        <f t="shared" si="117"/>
        <v>3</v>
      </c>
      <c r="K55" s="5">
        <f>IF($C55="","",VLOOKUP($C55,CTPit!$E$10:$BG$72,K$51,FALSE))</f>
        <v>8</v>
      </c>
      <c r="L55" s="5">
        <f>IF($C55="","",VLOOKUP($C55,CTPit!$E$10:$BG$72,L$51,FALSE))</f>
        <v>6</v>
      </c>
      <c r="M55" s="3">
        <f>IF($C55="","",VLOOKUP($C55,CTPit!$E$10:$BG$72,M$51,FALSE))</f>
        <v>6</v>
      </c>
      <c r="N55" s="5">
        <f>IF($C55="","",VLOOKUP($C55,CTPit!$E$10:$BG$72,N$51,FALSE))</f>
        <v>9</v>
      </c>
      <c r="O55" s="5">
        <f>IF($C55="","",VLOOKUP($C55,CTPit!$E$10:$BG$72,O$51,FALSE))</f>
        <v>8</v>
      </c>
      <c r="P55" s="5" t="str">
        <f>IF($C55="","",VLOOKUP($C55,CTPit!$E$10:$BG$72,P$51,FALSE))</f>
        <v>-</v>
      </c>
      <c r="Q55" s="5" t="str">
        <f>IF($C55="","",VLOOKUP($C55,CTPit!$E$10:$BG$72,Q$51,FALSE))</f>
        <v>-</v>
      </c>
      <c r="R55" s="5" t="str">
        <f>IF($C55="","",VLOOKUP($C55,CTPit!$E$10:$BG$72,R$51,FALSE))</f>
        <v>-</v>
      </c>
      <c r="S55" s="5">
        <f>IF($C55="","",VLOOKUP($C55,CTPit!$E$10:$BG$72,S$51,FALSE))</f>
        <v>7</v>
      </c>
      <c r="T55" s="5" t="str">
        <f>IF($C55="","",VLOOKUP($C55,CTPit!$E$10:$BG$72,T$51,FALSE))</f>
        <v>-</v>
      </c>
      <c r="U55" s="5" t="str">
        <f>IF($C55="","",VLOOKUP($C55,CTPit!$E$10:$BG$72,U$51,FALSE))</f>
        <v>-</v>
      </c>
      <c r="V55" s="5" t="str">
        <f>IF($C55="","",VLOOKUP($C55,CTPit!$E$10:$BG$72,V$51,FALSE))</f>
        <v>-</v>
      </c>
      <c r="W55" s="5" t="str">
        <f>IF($C55="","",VLOOKUP($C55,CTPit!$E$10:$BG$72,W$51,FALSE))</f>
        <v>-</v>
      </c>
      <c r="X55" s="5" t="str">
        <f>IF($C55="","",VLOOKUP($C55,CTPit!$E$10:$BG$72,X$51,FALSE))</f>
        <v>-</v>
      </c>
      <c r="Y55" s="3" t="str">
        <f>IF($C55="","",VLOOKUP($C55,CTPit!$E$10:$BG$72,Y$51,FALSE))</f>
        <v>-</v>
      </c>
      <c r="Z55" s="53" t="str">
        <f>IF($C55="","",VLOOKUP($C55,CTPit!$E$10:$BG$72,Z$51,FALSE))</f>
        <v>95-97 Mph</v>
      </c>
      <c r="AA55" s="5">
        <f>IF($C55="","",VLOOKUP($C55,CTPit!$E$10:$BG$72,AA$51,FALSE))</f>
        <v>7</v>
      </c>
      <c r="AB55" s="80">
        <f>IF($C55="","",VLOOKUP($C55,CTPit!$E$10:$BG$72,AB$51,FALSE))</f>
        <v>0.45</v>
      </c>
      <c r="AC55" s="67">
        <f>IF($C55="","",VLOOKUP($C55,CTPit!$E$10:$BG$72,AC$51,FALSE))</f>
        <v>6.916666666666667</v>
      </c>
      <c r="AD55" s="288">
        <f>IF($C55="","",VLOOKUP($C55,CTPit!$E$10:$BG$72,AD$51,FALSE))</f>
        <v>8</v>
      </c>
      <c r="AE55" s="288">
        <f>IF($C55="","",VLOOKUP($C55,CTPit!$E$10:$BG$72,AE$51,FALSE))</f>
        <v>6</v>
      </c>
      <c r="AF55" s="289">
        <f>IF($C55="","",VLOOKUP($C55,CTPit!$E$10:$BG$72,AF$51,FALSE))</f>
        <v>6</v>
      </c>
      <c r="AG55" s="67">
        <f>IF($C55="","",VLOOKUP($C55,CTPit!$E$10:$BG$72,AG$51,FALSE))</f>
        <v>6.916666666666667</v>
      </c>
    </row>
    <row r="56" spans="1:33">
      <c r="A56" s="5">
        <v>4</v>
      </c>
      <c r="B56" s="36" t="s">
        <v>111</v>
      </c>
      <c r="C56" s="65" t="s">
        <v>426</v>
      </c>
      <c r="D56" s="37">
        <f>IF($C56="","",VLOOKUP($C56,CTPit!$E$10:$BG$214,D$1,FALSE))</f>
        <v>28</v>
      </c>
      <c r="E56" s="38" t="str">
        <f>IF($C56="","",VLOOKUP($C56,CTPit!$E$10:$BG$214,E$1+1,FALSE))</f>
        <v>L</v>
      </c>
      <c r="F56" s="5">
        <f t="shared" si="114"/>
        <v>0</v>
      </c>
      <c r="G56" s="5">
        <f t="shared" si="115"/>
        <v>0</v>
      </c>
      <c r="H56" s="5">
        <f t="shared" si="116"/>
        <v>0</v>
      </c>
      <c r="I56" s="100" t="str">
        <f>IF($C56="","",VLOOKUP($C56,CTPit!$E$10:$BG$72,I$51,FALSE))</f>
        <v>L</v>
      </c>
      <c r="J56" s="77">
        <f t="shared" si="117"/>
        <v>3</v>
      </c>
      <c r="K56" s="5">
        <f>IF($C56="","",VLOOKUP($C56,CTPit!$E$10:$BG$72,K$51,FALSE))</f>
        <v>8</v>
      </c>
      <c r="L56" s="5">
        <f>IF($C56="","",VLOOKUP($C56,CTPit!$E$10:$BG$72,L$51,FALSE))</f>
        <v>5</v>
      </c>
      <c r="M56" s="3">
        <f>IF($C56="","",VLOOKUP($C56,CTPit!$E$10:$BG$72,M$51,FALSE))</f>
        <v>5</v>
      </c>
      <c r="N56" s="5">
        <f>IF($C56="","",VLOOKUP($C56,CTPit!$E$10:$BG$72,N$51,FALSE))</f>
        <v>8</v>
      </c>
      <c r="O56" s="5">
        <f>IF($C56="","",VLOOKUP($C56,CTPit!$E$10:$BG$72,O$51,FALSE))</f>
        <v>10</v>
      </c>
      <c r="P56" s="5" t="str">
        <f>IF($C56="","",VLOOKUP($C56,CTPit!$E$10:$BG$72,P$51,FALSE))</f>
        <v>-</v>
      </c>
      <c r="Q56" s="5">
        <f>IF($C56="","",VLOOKUP($C56,CTPit!$E$10:$BG$72,Q$51,FALSE))</f>
        <v>8</v>
      </c>
      <c r="R56" s="5" t="str">
        <f>IF($C56="","",VLOOKUP($C56,CTPit!$E$10:$BG$72,R$51,FALSE))</f>
        <v>-</v>
      </c>
      <c r="S56" s="5" t="str">
        <f>IF($C56="","",VLOOKUP($C56,CTPit!$E$10:$BG$72,S$51,FALSE))</f>
        <v>-</v>
      </c>
      <c r="T56" s="5" t="str">
        <f>IF($C56="","",VLOOKUP($C56,CTPit!$E$10:$BG$72,T$51,FALSE))</f>
        <v>-</v>
      </c>
      <c r="U56" s="5" t="str">
        <f>IF($C56="","",VLOOKUP($C56,CTPit!$E$10:$BG$72,U$51,FALSE))</f>
        <v>-</v>
      </c>
      <c r="V56" s="5" t="str">
        <f>IF($C56="","",VLOOKUP($C56,CTPit!$E$10:$BG$72,V$51,FALSE))</f>
        <v>-</v>
      </c>
      <c r="W56" s="5" t="str">
        <f>IF($C56="","",VLOOKUP($C56,CTPit!$E$10:$BG$72,W$51,FALSE))</f>
        <v>-</v>
      </c>
      <c r="X56" s="5" t="str">
        <f>IF($C56="","",VLOOKUP($C56,CTPit!$E$10:$BG$72,X$51,FALSE))</f>
        <v>-</v>
      </c>
      <c r="Y56" s="3" t="str">
        <f>IF($C56="","",VLOOKUP($C56,CTPit!$E$10:$BG$72,Y$51,FALSE))</f>
        <v>-</v>
      </c>
      <c r="Z56" s="53" t="str">
        <f>IF($C56="","",VLOOKUP($C56,CTPit!$E$10:$BG$72,Z$51,FALSE))</f>
        <v>93-95 Mph</v>
      </c>
      <c r="AA56" s="5">
        <f>IF($C56="","",VLOOKUP($C56,CTPit!$E$10:$BG$72,AA$51,FALSE))</f>
        <v>8</v>
      </c>
      <c r="AB56" s="80">
        <f>IF($C56="","",VLOOKUP($C56,CTPit!$E$10:$BG$72,AB$51,FALSE))</f>
        <v>0.37</v>
      </c>
      <c r="AC56" s="67">
        <f>IF($C56="","",VLOOKUP($C56,CTPit!$E$10:$BG$72,AC$51,FALSE))</f>
        <v>6.25</v>
      </c>
      <c r="AD56" s="288">
        <f>IF($C56="","",VLOOKUP($C56,CTPit!$E$10:$BG$72,AD$51,FALSE))</f>
        <v>8</v>
      </c>
      <c r="AE56" s="288">
        <f>IF($C56="","",VLOOKUP($C56,CTPit!$E$10:$BG$72,AE$51,FALSE))</f>
        <v>5</v>
      </c>
      <c r="AF56" s="289">
        <f>IF($C56="","",VLOOKUP($C56,CTPit!$E$10:$BG$72,AF$51,FALSE))</f>
        <v>5</v>
      </c>
      <c r="AG56" s="67">
        <f>IF($C56="","",VLOOKUP($C56,CTPit!$E$10:$BG$72,AG$51,FALSE))</f>
        <v>6.25</v>
      </c>
    </row>
    <row r="57" spans="1:33">
      <c r="A57" s="5">
        <v>5</v>
      </c>
      <c r="B57" s="36" t="s">
        <v>111</v>
      </c>
      <c r="C57" s="65" t="s">
        <v>524</v>
      </c>
      <c r="D57" s="37">
        <f>IF($C57="","",VLOOKUP($C57,CTPit!$E$10:$BG$214,D$1,FALSE))</f>
        <v>28</v>
      </c>
      <c r="E57" s="38" t="str">
        <f>IF($C57="","",VLOOKUP($C57,CTPit!$E$10:$BG$214,E$1+1,FALSE))</f>
        <v>R</v>
      </c>
      <c r="F57" s="5">
        <f t="shared" si="114"/>
        <v>0</v>
      </c>
      <c r="G57" s="5">
        <f t="shared" si="115"/>
        <v>0</v>
      </c>
      <c r="H57" s="5">
        <f t="shared" si="116"/>
        <v>0</v>
      </c>
      <c r="I57" s="100" t="str">
        <f>IF($C57="","",VLOOKUP($C57,CTPit!$E$10:$BG$72,I$51,FALSE))</f>
        <v>R</v>
      </c>
      <c r="J57" s="77">
        <f t="shared" si="117"/>
        <v>3</v>
      </c>
      <c r="K57" s="5">
        <f>IF($C57="","",VLOOKUP($C57,CTPit!$E$10:$BG$72,K$51,FALSE))</f>
        <v>7</v>
      </c>
      <c r="L57" s="5">
        <f>IF($C57="","",VLOOKUP($C57,CTPit!$E$10:$BG$72,L$51,FALSE))</f>
        <v>6</v>
      </c>
      <c r="M57" s="3">
        <f>IF($C57="","",VLOOKUP($C57,CTPit!$E$10:$BG$72,M$51,FALSE))</f>
        <v>5</v>
      </c>
      <c r="N57" s="5">
        <f>IF($C57="","",VLOOKUP($C57,CTPit!$E$10:$BG$72,N$51,FALSE))</f>
        <v>6</v>
      </c>
      <c r="O57" s="5">
        <f>IF($C57="","",VLOOKUP($C57,CTPit!$E$10:$BG$72,O$51,FALSE))</f>
        <v>10</v>
      </c>
      <c r="P57" s="5" t="str">
        <f>IF($C57="","",VLOOKUP($C57,CTPit!$E$10:$BG$72,P$51,FALSE))</f>
        <v>-</v>
      </c>
      <c r="Q57" s="5">
        <f>IF($C57="","",VLOOKUP($C57,CTPit!$E$10:$BG$72,Q$51,FALSE))</f>
        <v>6</v>
      </c>
      <c r="R57" s="5" t="str">
        <f>IF($C57="","",VLOOKUP($C57,CTPit!$E$10:$BG$72,R$51,FALSE))</f>
        <v>-</v>
      </c>
      <c r="S57" s="5" t="str">
        <f>IF($C57="","",VLOOKUP($C57,CTPit!$E$10:$BG$72,S$51,FALSE))</f>
        <v>-</v>
      </c>
      <c r="T57" s="5" t="str">
        <f>IF($C57="","",VLOOKUP($C57,CTPit!$E$10:$BG$72,T$51,FALSE))</f>
        <v>-</v>
      </c>
      <c r="U57" s="5" t="str">
        <f>IF($C57="","",VLOOKUP($C57,CTPit!$E$10:$BG$72,U$51,FALSE))</f>
        <v>-</v>
      </c>
      <c r="V57" s="5" t="str">
        <f>IF($C57="","",VLOOKUP($C57,CTPit!$E$10:$BG$72,V$51,FALSE))</f>
        <v>-</v>
      </c>
      <c r="W57" s="5" t="str">
        <f>IF($C57="","",VLOOKUP($C57,CTPit!$E$10:$BG$72,W$51,FALSE))</f>
        <v>-</v>
      </c>
      <c r="X57" s="5" t="str">
        <f>IF($C57="","",VLOOKUP($C57,CTPit!$E$10:$BG$72,X$51,FALSE))</f>
        <v>-</v>
      </c>
      <c r="Y57" s="3" t="str">
        <f>IF($C57="","",VLOOKUP($C57,CTPit!$E$10:$BG$72,Y$51,FALSE))</f>
        <v>-</v>
      </c>
      <c r="Z57" s="53" t="str">
        <f>IF($C57="","",VLOOKUP($C57,CTPit!$E$10:$BG$72,Z$51,FALSE))</f>
        <v>92-94 Mph</v>
      </c>
      <c r="AA57" s="5">
        <f>IF($C57="","",VLOOKUP($C57,CTPit!$E$10:$BG$72,AA$51,FALSE))</f>
        <v>5</v>
      </c>
      <c r="AB57" s="80">
        <f>IF($C57="","",VLOOKUP($C57,CTPit!$E$10:$BG$72,AB$51,FALSE))</f>
        <v>0.6</v>
      </c>
      <c r="AC57" s="67">
        <f>IF($C57="","",VLOOKUP($C57,CTPit!$E$10:$BG$72,AC$51,FALSE))</f>
        <v>6.5</v>
      </c>
      <c r="AD57" s="288">
        <f>IF($C57="","",VLOOKUP($C57,CTPit!$E$10:$BG$72,AD$51,FALSE))</f>
        <v>7</v>
      </c>
      <c r="AE57" s="288">
        <f>IF($C57="","",VLOOKUP($C57,CTPit!$E$10:$BG$72,AE$51,FALSE))</f>
        <v>6</v>
      </c>
      <c r="AF57" s="289">
        <f>IF($C57="","",VLOOKUP($C57,CTPit!$E$10:$BG$72,AF$51,FALSE))</f>
        <v>6</v>
      </c>
      <c r="AG57" s="67">
        <f>IF($C57="","",VLOOKUP($C57,CTPit!$E$10:$BG$72,AG$51,FALSE))</f>
        <v>6.833333333333333</v>
      </c>
    </row>
    <row r="58" spans="1:33">
      <c r="A58" s="5">
        <v>6</v>
      </c>
      <c r="B58" s="39" t="s">
        <v>130</v>
      </c>
      <c r="C58" s="271"/>
      <c r="D58" s="40" t="str">
        <f>IF($C58="","",VLOOKUP($C58,CTPit!$E$10:$BG$214,D$1,FALSE))</f>
        <v/>
      </c>
      <c r="E58" s="42" t="str">
        <f>IF($C58="","",VLOOKUP($C58,CTPit!$E$10:$BG$214,E$1+1,FALSE))</f>
        <v/>
      </c>
      <c r="F58" s="41" t="str">
        <f t="shared" si="114"/>
        <v/>
      </c>
      <c r="G58" s="41" t="str">
        <f t="shared" si="115"/>
        <v/>
      </c>
      <c r="H58" s="41" t="str">
        <f t="shared" si="116"/>
        <v/>
      </c>
      <c r="I58" s="101" t="str">
        <f>IF($C58="","",VLOOKUP($C58,CTPit!$E$10:$BG$72,I$51,FALSE))</f>
        <v/>
      </c>
      <c r="J58" s="78" t="str">
        <f t="shared" si="117"/>
        <v/>
      </c>
      <c r="K58" s="41" t="str">
        <f>IF($C58="","",VLOOKUP($C58,CTPit!$E$10:$BG$72,K$51,FALSE))</f>
        <v/>
      </c>
      <c r="L58" s="41" t="str">
        <f>IF($C58="","",VLOOKUP($C58,CTPit!$E$10:$BG$72,L$51,FALSE))</f>
        <v/>
      </c>
      <c r="M58" s="62" t="str">
        <f>IF($C58="","",VLOOKUP($C58,CTPit!$E$10:$BG$72,M$51,FALSE))</f>
        <v/>
      </c>
      <c r="N58" s="41" t="str">
        <f>IF($C58="","",VLOOKUP($C58,CTPit!$E$10:$BG$72,N$51,FALSE))</f>
        <v/>
      </c>
      <c r="O58" s="41" t="str">
        <f>IF($C58="","",VLOOKUP($C58,CTPit!$E$10:$BG$72,O$51,FALSE))</f>
        <v/>
      </c>
      <c r="P58" s="41" t="str">
        <f>IF($C58="","",VLOOKUP($C58,CTPit!$E$10:$BG$72,P$51,FALSE))</f>
        <v/>
      </c>
      <c r="Q58" s="41" t="str">
        <f>IF($C58="","",VLOOKUP($C58,CTPit!$E$10:$BG$72,Q$51,FALSE))</f>
        <v/>
      </c>
      <c r="R58" s="41" t="str">
        <f>IF($C58="","",VLOOKUP($C58,CTPit!$E$10:$BG$72,R$51,FALSE))</f>
        <v/>
      </c>
      <c r="S58" s="41" t="str">
        <f>IF($C58="","",VLOOKUP($C58,CTPit!$E$10:$BG$72,S$51,FALSE))</f>
        <v/>
      </c>
      <c r="T58" s="41" t="str">
        <f>IF($C58="","",VLOOKUP($C58,CTPit!$E$10:$BG$72,T$51,FALSE))</f>
        <v/>
      </c>
      <c r="U58" s="41" t="str">
        <f>IF($C58="","",VLOOKUP($C58,CTPit!$E$10:$BG$72,U$51,FALSE))</f>
        <v/>
      </c>
      <c r="V58" s="41" t="str">
        <f>IF($C58="","",VLOOKUP($C58,CTPit!$E$10:$BG$72,V$51,FALSE))</f>
        <v/>
      </c>
      <c r="W58" s="41" t="str">
        <f>IF($C58="","",VLOOKUP($C58,CTPit!$E$10:$BG$72,W$51,FALSE))</f>
        <v/>
      </c>
      <c r="X58" s="41" t="str">
        <f>IF($C58="","",VLOOKUP($C58,CTPit!$E$10:$BG$72,X$51,FALSE))</f>
        <v/>
      </c>
      <c r="Y58" s="62" t="str">
        <f>IF($C58="","",VLOOKUP($C58,CTPit!$E$10:$BG$72,Y$51,FALSE))</f>
        <v/>
      </c>
      <c r="Z58" s="54" t="str">
        <f>IF($C58="","",VLOOKUP($C58,CTPit!$E$10:$BG$72,Z$51,FALSE))</f>
        <v/>
      </c>
      <c r="AA58" s="41" t="str">
        <f>IF($C58="","",VLOOKUP($C58,CTPit!$E$10:$BG$72,AA$51,FALSE))</f>
        <v/>
      </c>
      <c r="AB58" s="81" t="str">
        <f>IF($C58="","",VLOOKUP($C58,CTPit!$E$10:$BG$72,AB$51,FALSE))</f>
        <v/>
      </c>
      <c r="AC58" s="68" t="str">
        <f>IF($C58="","",VLOOKUP($C58,CTPit!$E$10:$BG$72,AC$51,FALSE))</f>
        <v/>
      </c>
      <c r="AD58" s="286" t="str">
        <f>IF($C58="","",VLOOKUP($C58,CTPit!$E$10:$BG$72,AD$51,FALSE))</f>
        <v/>
      </c>
      <c r="AE58" s="286" t="str">
        <f>IF($C58="","",VLOOKUP($C58,CTPit!$E$10:$BG$72,AE$51,FALSE))</f>
        <v/>
      </c>
      <c r="AF58" s="287" t="str">
        <f>IF($C58="","",VLOOKUP($C58,CTPit!$E$10:$BG$72,AF$51,FALSE))</f>
        <v/>
      </c>
      <c r="AG58" s="68" t="str">
        <f>IF($C58="","",VLOOKUP($C58,CTPit!$E$10:$BG$72,AG$51,FALSE))</f>
        <v/>
      </c>
    </row>
    <row r="59" spans="1:33">
      <c r="Z59" s="5"/>
      <c r="AA59" s="5"/>
      <c r="AB59" s="5"/>
    </row>
    <row r="60" spans="1:33" ht="57">
      <c r="A60" s="25" t="s">
        <v>196</v>
      </c>
      <c r="B60" s="43" t="s">
        <v>131</v>
      </c>
      <c r="C60" s="44" t="s">
        <v>121</v>
      </c>
      <c r="D60" s="44" t="s">
        <v>94</v>
      </c>
      <c r="E60" s="44" t="s">
        <v>105</v>
      </c>
      <c r="F60" s="55" t="s">
        <v>193</v>
      </c>
      <c r="G60" s="47" t="s">
        <v>194</v>
      </c>
      <c r="H60" s="56" t="s">
        <v>195</v>
      </c>
      <c r="I60" s="76" t="s">
        <v>217</v>
      </c>
      <c r="J60" s="47" t="s">
        <v>192</v>
      </c>
      <c r="K60" s="79" t="s">
        <v>189</v>
      </c>
      <c r="L60" s="74" t="s">
        <v>190</v>
      </c>
      <c r="M60" s="75" t="s">
        <v>191</v>
      </c>
      <c r="N60" s="74" t="s">
        <v>63</v>
      </c>
      <c r="O60" s="74" t="s">
        <v>65</v>
      </c>
      <c r="P60" s="74" t="s">
        <v>67</v>
      </c>
      <c r="Q60" s="74" t="s">
        <v>69</v>
      </c>
      <c r="R60" s="74" t="s">
        <v>71</v>
      </c>
      <c r="S60" s="74" t="s">
        <v>111</v>
      </c>
      <c r="T60" s="74" t="s">
        <v>74</v>
      </c>
      <c r="U60" s="74" t="s">
        <v>76</v>
      </c>
      <c r="V60" s="74" t="s">
        <v>78</v>
      </c>
      <c r="W60" s="74" t="s">
        <v>80</v>
      </c>
      <c r="X60" s="74" t="s">
        <v>82</v>
      </c>
      <c r="Y60" s="75" t="s">
        <v>84</v>
      </c>
      <c r="Z60" s="79" t="s">
        <v>203</v>
      </c>
      <c r="AA60" s="74" t="s">
        <v>202</v>
      </c>
      <c r="AB60" s="75" t="s">
        <v>204</v>
      </c>
      <c r="AC60" s="319" t="s">
        <v>647</v>
      </c>
      <c r="AD60" s="74" t="s">
        <v>189</v>
      </c>
      <c r="AE60" s="74" t="s">
        <v>190</v>
      </c>
      <c r="AF60" s="75" t="s">
        <v>191</v>
      </c>
      <c r="AG60" s="319" t="s">
        <v>201</v>
      </c>
    </row>
    <row r="61" spans="1:33">
      <c r="A61">
        <v>1</v>
      </c>
      <c r="B61" s="36" t="s">
        <v>112</v>
      </c>
      <c r="C61" s="37" t="s">
        <v>16</v>
      </c>
      <c r="D61" s="37">
        <f>IF($C61="","",VLOOKUP($C61,CTPit!$E$10:$BG$214,D$1,FALSE))</f>
        <v>27</v>
      </c>
      <c r="E61" s="37" t="str">
        <f>IF($C61="","",VLOOKUP($C61,CTPit!$E$10:$BG$214,E$1+1,FALSE))</f>
        <v>R</v>
      </c>
      <c r="F61" s="53">
        <f>IF($C61="","",IF(AVERAGE(K61:M61)&gt;7,1,0))</f>
        <v>0</v>
      </c>
      <c r="G61" s="5">
        <f>IF($C61="","",IF(AVERAGE(K61:M61)&gt;6.5,1,0))</f>
        <v>1</v>
      </c>
      <c r="H61" s="3">
        <f>IF($C61="","",IF(AVERAGE(K61:M61)&gt;6,1,0))</f>
        <v>1</v>
      </c>
      <c r="I61" s="99" t="str">
        <f>IF($C61="","",VLOOKUP($C61,CTPit!$E$10:$BG$72,I$51,FALSE))</f>
        <v>R</v>
      </c>
      <c r="J61" s="5">
        <f>IF($C61="","",COUNT(N61:Y61))</f>
        <v>3</v>
      </c>
      <c r="K61" s="53">
        <f>IF($C61="","",VLOOKUP($C61,CTPit!$E$10:$BG$72,K$51,FALSE))</f>
        <v>8</v>
      </c>
      <c r="L61" s="5">
        <f>IF($C61="","",VLOOKUP($C61,CTPit!$E$10:$BG$72,L$51,FALSE))</f>
        <v>6</v>
      </c>
      <c r="M61" s="3">
        <f>IF($C61="","",VLOOKUP($C61,CTPit!$E$10:$BG$72,M$51,FALSE))</f>
        <v>6</v>
      </c>
      <c r="N61" s="5">
        <f>IF($C61="","",VLOOKUP($C61,CTPit!$E$10:$BG$72,N$51,FALSE))</f>
        <v>8</v>
      </c>
      <c r="O61" s="5">
        <f>IF($C61="","",VLOOKUP($C61,CTPit!$E$10:$BG$72,O$51,FALSE))</f>
        <v>1</v>
      </c>
      <c r="P61" s="5" t="str">
        <f>IF($C61="","",VLOOKUP($C61,CTPit!$E$10:$BG$72,P$51,FALSE))</f>
        <v>-</v>
      </c>
      <c r="Q61" s="5">
        <f>IF($C61="","",VLOOKUP($C61,CTPit!$E$10:$BG$72,Q$51,FALSE))</f>
        <v>8</v>
      </c>
      <c r="R61" s="5" t="str">
        <f>IF($C61="","",VLOOKUP($C61,CTPit!$E$10:$BG$72,R$51,FALSE))</f>
        <v>-</v>
      </c>
      <c r="S61" s="5" t="str">
        <f>IF($C61="","",VLOOKUP($C61,CTPit!$E$10:$BG$72,S$51,FALSE))</f>
        <v>-</v>
      </c>
      <c r="T61" s="5" t="str">
        <f>IF($C61="","",VLOOKUP($C61,CTPit!$E$10:$BG$72,T$51,FALSE))</f>
        <v>-</v>
      </c>
      <c r="U61" s="5" t="str">
        <f>IF($C61="","",VLOOKUP($C61,CTPit!$E$10:$BG$72,U$51,FALSE))</f>
        <v>-</v>
      </c>
      <c r="V61" s="5" t="str">
        <f>IF($C61="","",VLOOKUP($C61,CTPit!$E$10:$BG$72,V$51,FALSE))</f>
        <v>-</v>
      </c>
      <c r="W61" s="5" t="str">
        <f>IF($C61="","",VLOOKUP($C61,CTPit!$E$10:$BG$72,W$51,FALSE))</f>
        <v>-</v>
      </c>
      <c r="X61" s="5" t="str">
        <f>IF($C61="","",VLOOKUP($C61,CTPit!$E$10:$BG$72,X$51,FALSE))</f>
        <v>-</v>
      </c>
      <c r="Y61" s="3" t="str">
        <f>IF($C61="","",VLOOKUP($C61,CTPit!$E$10:$BG$72,Y$51,FALSE))</f>
        <v>-</v>
      </c>
      <c r="Z61" s="53" t="str">
        <f>IF($C61="","",VLOOKUP($C61,CTPit!$E$10:$BG$72,Z$51,FALSE))</f>
        <v>95-97 Mph</v>
      </c>
      <c r="AA61" s="5">
        <f>IF($C61="","",VLOOKUP($C61,CTPit!$E$10:$BG$72,AA$51,FALSE))</f>
        <v>4</v>
      </c>
      <c r="AB61" s="80">
        <f>IF($C61="","",VLOOKUP($C61,CTPit!$E$10:$BG$72,AB$51,FALSE))</f>
        <v>0.36</v>
      </c>
      <c r="AC61" s="320">
        <f>IF($C61="","",VLOOKUP($C61,CTPit!$E$10:$BG$72,AC$51,FALSE))</f>
        <v>6.916666666666667</v>
      </c>
      <c r="AD61" s="288">
        <f>IF($C61="","",VLOOKUP($C61,CTPit!$E$10:$BG$72,AD$51,FALSE))</f>
        <v>8</v>
      </c>
      <c r="AE61" s="288">
        <f>IF($C61="","",VLOOKUP($C61,CTPit!$E$10:$BG$72,AE$51,FALSE))</f>
        <v>6</v>
      </c>
      <c r="AF61" s="289">
        <f>IF($C61="","",VLOOKUP($C61,CTPit!$E$10:$BG$72,AF$51,FALSE))</f>
        <v>7</v>
      </c>
      <c r="AG61" s="320">
        <f>IF($C61="","",VLOOKUP($C61,CTPit!$E$10:$BG$72,AG$51,FALSE))</f>
        <v>7.25</v>
      </c>
    </row>
    <row r="62" spans="1:33">
      <c r="A62">
        <v>2</v>
      </c>
      <c r="B62" s="39" t="s">
        <v>132</v>
      </c>
      <c r="C62" s="40" t="s">
        <v>49</v>
      </c>
      <c r="D62" s="40">
        <f>IF($C62="","",VLOOKUP($C62,CTPit!$E$10:$BG$214,D$1,FALSE))</f>
        <v>28</v>
      </c>
      <c r="E62" s="40" t="str">
        <f>IF($C62="","",VLOOKUP($C62,CTPit!$E$10:$BG$214,E$1+1,FALSE))</f>
        <v>L</v>
      </c>
      <c r="F62" s="54">
        <f>IF($C62="","",IF(AVERAGE(K62:M62)&gt;7,1,0))</f>
        <v>0</v>
      </c>
      <c r="G62" s="41">
        <f>IF($C62="","",IF(AVERAGE(K62:M62)&gt;6.5,1,0))</f>
        <v>0</v>
      </c>
      <c r="H62" s="62">
        <f>IF($C62="","",IF(AVERAGE(K62:M62)&gt;6,1,0))</f>
        <v>0</v>
      </c>
      <c r="I62" s="101" t="str">
        <f>IF($C62="","",VLOOKUP($C62,CTPit!$E$10:$BG$72,I$51,FALSE))</f>
        <v>L</v>
      </c>
      <c r="J62" s="41">
        <f>IF($C62="","",COUNT(N62:Y62))</f>
        <v>3</v>
      </c>
      <c r="K62" s="54">
        <f>IF($C62="","",VLOOKUP($C62,CTPit!$E$10:$BG$72,K$51,FALSE))</f>
        <v>9</v>
      </c>
      <c r="L62" s="41">
        <f>IF($C62="","",VLOOKUP($C62,CTPit!$E$10:$BG$72,L$51,FALSE))</f>
        <v>5</v>
      </c>
      <c r="M62" s="62">
        <f>IF($C62="","",VLOOKUP($C62,CTPit!$E$10:$BG$72,M$51,FALSE))</f>
        <v>3</v>
      </c>
      <c r="N62" s="41">
        <f>IF($C62="","",VLOOKUP($C62,CTPit!$E$10:$BG$72,N$51,FALSE))</f>
        <v>9</v>
      </c>
      <c r="O62" s="41">
        <f>IF($C62="","",VLOOKUP($C62,CTPit!$E$10:$BG$72,O$51,FALSE))</f>
        <v>7</v>
      </c>
      <c r="P62" s="41" t="str">
        <f>IF($C62="","",VLOOKUP($C62,CTPit!$E$10:$BG$72,P$51,FALSE))</f>
        <v>-</v>
      </c>
      <c r="Q62" s="41" t="str">
        <f>IF($C62="","",VLOOKUP($C62,CTPit!$E$10:$BG$72,Q$51,FALSE))</f>
        <v>-</v>
      </c>
      <c r="R62" s="41" t="str">
        <f>IF($C62="","",VLOOKUP($C62,CTPit!$E$10:$BG$72,R$51,FALSE))</f>
        <v>-</v>
      </c>
      <c r="S62" s="41" t="str">
        <f>IF($C62="","",VLOOKUP($C62,CTPit!$E$10:$BG$72,S$51,FALSE))</f>
        <v>-</v>
      </c>
      <c r="T62" s="41" t="str">
        <f>IF($C62="","",VLOOKUP($C62,CTPit!$E$10:$BG$72,T$51,FALSE))</f>
        <v>-</v>
      </c>
      <c r="U62" s="41" t="str">
        <f>IF($C62="","",VLOOKUP($C62,CTPit!$E$10:$BG$72,U$51,FALSE))</f>
        <v>-</v>
      </c>
      <c r="V62" s="41" t="str">
        <f>IF($C62="","",VLOOKUP($C62,CTPit!$E$10:$BG$72,V$51,FALSE))</f>
        <v>-</v>
      </c>
      <c r="W62" s="41">
        <f>IF($C62="","",VLOOKUP($C62,CTPit!$E$10:$BG$72,W$51,FALSE))</f>
        <v>4</v>
      </c>
      <c r="X62" s="41" t="str">
        <f>IF($C62="","",VLOOKUP($C62,CTPit!$E$10:$BG$72,X$51,FALSE))</f>
        <v>-</v>
      </c>
      <c r="Y62" s="62" t="str">
        <f>IF($C62="","",VLOOKUP($C62,CTPit!$E$10:$BG$72,Y$51,FALSE))</f>
        <v>-</v>
      </c>
      <c r="Z62" s="54" t="str">
        <f>IF($C62="","",VLOOKUP($C62,CTPit!$E$10:$BG$72,Z$51,FALSE))</f>
        <v>97-99 Mph</v>
      </c>
      <c r="AA62" s="41">
        <f>IF($C62="","",VLOOKUP($C62,CTPit!$E$10:$BG$72,AA$51,FALSE))</f>
        <v>1</v>
      </c>
      <c r="AB62" s="81">
        <f>IF($C62="","",VLOOKUP($C62,CTPit!$E$10:$BG$72,AB$51,FALSE))</f>
        <v>0.53</v>
      </c>
      <c r="AC62" s="68">
        <f>IF($C62="","",VLOOKUP($C62,CTPit!$E$10:$BG$72,AC$51,FALSE))</f>
        <v>5.916666666666667</v>
      </c>
      <c r="AD62" s="286">
        <f>IF($C62="","",VLOOKUP($C62,CTPit!$E$10:$BG$72,AD$51,FALSE))</f>
        <v>9</v>
      </c>
      <c r="AE62" s="286">
        <f>IF($C62="","",VLOOKUP($C62,CTPit!$E$10:$BG$72,AE$51,FALSE))</f>
        <v>5</v>
      </c>
      <c r="AF62" s="287">
        <f>IF($C62="","",VLOOKUP($C62,CTPit!$E$10:$BG$72,AF$51,FALSE))</f>
        <v>4</v>
      </c>
      <c r="AG62" s="68">
        <f>IF($C62="","",VLOOKUP($C62,CTPit!$E$10:$BG$72,AG$51,FALSE))</f>
        <v>6.25</v>
      </c>
    </row>
    <row r="63" spans="1:33">
      <c r="Z63" s="5"/>
      <c r="AA63" s="5"/>
      <c r="AB63" s="5"/>
    </row>
    <row r="64" spans="1:33" ht="57">
      <c r="A64" s="25" t="s">
        <v>196</v>
      </c>
      <c r="B64" s="43" t="s">
        <v>133</v>
      </c>
      <c r="C64" s="44" t="s">
        <v>121</v>
      </c>
      <c r="D64" s="44" t="s">
        <v>94</v>
      </c>
      <c r="E64" s="44" t="s">
        <v>105</v>
      </c>
      <c r="F64" s="55" t="s">
        <v>193</v>
      </c>
      <c r="G64" s="47" t="s">
        <v>194</v>
      </c>
      <c r="H64" s="56" t="s">
        <v>195</v>
      </c>
      <c r="I64" s="76" t="s">
        <v>217</v>
      </c>
      <c r="J64" s="47" t="s">
        <v>192</v>
      </c>
      <c r="K64" s="79" t="s">
        <v>189</v>
      </c>
      <c r="L64" s="74" t="s">
        <v>190</v>
      </c>
      <c r="M64" s="75" t="s">
        <v>191</v>
      </c>
      <c r="N64" s="74" t="s">
        <v>63</v>
      </c>
      <c r="O64" s="74" t="s">
        <v>65</v>
      </c>
      <c r="P64" s="74" t="s">
        <v>67</v>
      </c>
      <c r="Q64" s="74" t="s">
        <v>69</v>
      </c>
      <c r="R64" s="74" t="s">
        <v>71</v>
      </c>
      <c r="S64" s="74" t="s">
        <v>111</v>
      </c>
      <c r="T64" s="74" t="s">
        <v>74</v>
      </c>
      <c r="U64" s="74" t="s">
        <v>76</v>
      </c>
      <c r="V64" s="74" t="s">
        <v>78</v>
      </c>
      <c r="W64" s="74" t="s">
        <v>80</v>
      </c>
      <c r="X64" s="74" t="s">
        <v>82</v>
      </c>
      <c r="Y64" s="75" t="s">
        <v>84</v>
      </c>
      <c r="Z64" s="79" t="s">
        <v>203</v>
      </c>
      <c r="AA64" s="74" t="s">
        <v>202</v>
      </c>
      <c r="AB64" s="75" t="s">
        <v>204</v>
      </c>
      <c r="AC64" s="319" t="s">
        <v>647</v>
      </c>
      <c r="AD64" s="74" t="s">
        <v>189</v>
      </c>
      <c r="AE64" s="74" t="s">
        <v>190</v>
      </c>
      <c r="AF64" s="75" t="s">
        <v>191</v>
      </c>
      <c r="AG64" s="319" t="s">
        <v>201</v>
      </c>
    </row>
    <row r="65" spans="1:33">
      <c r="A65">
        <v>1</v>
      </c>
      <c r="B65" s="36" t="s">
        <v>134</v>
      </c>
      <c r="C65" s="37" t="s">
        <v>17</v>
      </c>
      <c r="D65" s="37">
        <f>IF($C65="","",VLOOKUP($C65,CTPit!$E$10:$BG$214,D$1,FALSE))</f>
        <v>25</v>
      </c>
      <c r="E65" s="37" t="str">
        <f>IF($C65="","",VLOOKUP($C65,CTPit!$E$10:$BG$214,E$1+1,FALSE))</f>
        <v>L</v>
      </c>
      <c r="F65" s="53">
        <f t="shared" ref="F65:F70" si="118">IF($C65="","",IF(AVERAGE(K65:M65)&gt;7,1,0))</f>
        <v>0</v>
      </c>
      <c r="G65" s="5">
        <f t="shared" ref="G65:G70" si="119">IF($C65="","",IF(AVERAGE(K65:M65)&gt;6.5,1,0))</f>
        <v>0</v>
      </c>
      <c r="H65" s="3">
        <f t="shared" ref="H65:H70" si="120">IF($C65="","",IF(AVERAGE(K65:M65)&gt;6,1,0))</f>
        <v>1</v>
      </c>
      <c r="I65" s="100" t="str">
        <f>IF($C65="","",VLOOKUP($C65,CTPit!$E$10:$BG$72,I$51,FALSE))</f>
        <v>L</v>
      </c>
      <c r="J65" s="5">
        <f t="shared" ref="J65:J70" si="121">IF($C65="","",COUNT(N65:Y65))</f>
        <v>2</v>
      </c>
      <c r="K65" s="53">
        <f>IF($C65="","",VLOOKUP($C65,CTPit!$E$10:$BG$72,K$51,FALSE))</f>
        <v>6</v>
      </c>
      <c r="L65" s="5">
        <f>IF($C65="","",VLOOKUP($C65,CTPit!$E$10:$BG$72,L$51,FALSE))</f>
        <v>7</v>
      </c>
      <c r="M65" s="3">
        <f>IF($C65="","",VLOOKUP($C65,CTPit!$E$10:$BG$72,M$51,FALSE))</f>
        <v>6</v>
      </c>
      <c r="N65" s="5">
        <f>IF($C65="","",VLOOKUP($C65,CTPit!$E$10:$BG$72,N$51,FALSE))</f>
        <v>7</v>
      </c>
      <c r="O65" s="5" t="str">
        <f>IF($C65="","",VLOOKUP($C65,CTPit!$E$10:$BG$72,O$51,FALSE))</f>
        <v>-</v>
      </c>
      <c r="P65" s="5" t="str">
        <f>IF($C65="","",VLOOKUP($C65,CTPit!$E$10:$BG$72,P$51,FALSE))</f>
        <v>-</v>
      </c>
      <c r="Q65" s="5" t="str">
        <f>IF($C65="","",VLOOKUP($C65,CTPit!$E$10:$BG$72,Q$51,FALSE))</f>
        <v>-</v>
      </c>
      <c r="R65" s="5" t="str">
        <f>IF($C65="","",VLOOKUP($C65,CTPit!$E$10:$BG$72,R$51,FALSE))</f>
        <v>-</v>
      </c>
      <c r="S65" s="5">
        <f>IF($C65="","",VLOOKUP($C65,CTPit!$E$10:$BG$72,S$51,FALSE))</f>
        <v>7</v>
      </c>
      <c r="T65" s="5" t="str">
        <f>IF($C65="","",VLOOKUP($C65,CTPit!$E$10:$BG$72,T$51,FALSE))</f>
        <v>-</v>
      </c>
      <c r="U65" s="5" t="str">
        <f>IF($C65="","",VLOOKUP($C65,CTPit!$E$10:$BG$72,U$51,FALSE))</f>
        <v>-</v>
      </c>
      <c r="V65" s="5" t="str">
        <f>IF($C65="","",VLOOKUP($C65,CTPit!$E$10:$BG$72,V$51,FALSE))</f>
        <v>-</v>
      </c>
      <c r="W65" s="5" t="str">
        <f>IF($C65="","",VLOOKUP($C65,CTPit!$E$10:$BG$72,W$51,FALSE))</f>
        <v>-</v>
      </c>
      <c r="X65" s="5" t="str">
        <f>IF($C65="","",VLOOKUP($C65,CTPit!$E$10:$BG$72,X$51,FALSE))</f>
        <v>-</v>
      </c>
      <c r="Y65" s="3" t="str">
        <f>IF($C65="","",VLOOKUP($C65,CTPit!$E$10:$BG$72,Y$51,FALSE))</f>
        <v>-</v>
      </c>
      <c r="Z65" s="53" t="str">
        <f>IF($C65="","",VLOOKUP($C65,CTPit!$E$10:$BG$72,Z$51,FALSE))</f>
        <v>92-94 Mph</v>
      </c>
      <c r="AA65" s="5">
        <f>IF($C65="","",VLOOKUP($C65,CTPit!$E$10:$BG$72,AA$51,FALSE))</f>
        <v>1</v>
      </c>
      <c r="AB65" s="80">
        <f>IF($C65="","",VLOOKUP($C65,CTPit!$E$10:$BG$72,AB$51,FALSE))</f>
        <v>0.51</v>
      </c>
      <c r="AC65" s="320">
        <f>IF($C65="","",VLOOKUP($C65,CTPit!$E$10:$BG$72,AC$51,FALSE))</f>
        <v>6.583333333333333</v>
      </c>
      <c r="AD65" s="288">
        <f>IF($C65="","",VLOOKUP($C65,CTPit!$E$10:$BG$72,AD$51,FALSE))</f>
        <v>6</v>
      </c>
      <c r="AE65" s="288">
        <f>IF($C65="","",VLOOKUP($C65,CTPit!$E$10:$BG$72,AE$51,FALSE))</f>
        <v>7</v>
      </c>
      <c r="AF65" s="289">
        <f>IF($C65="","",VLOOKUP($C65,CTPit!$E$10:$BG$72,AF$51,FALSE))</f>
        <v>6</v>
      </c>
      <c r="AG65" s="320">
        <f>IF($C65="","",VLOOKUP($C65,CTPit!$E$10:$BG$72,AG$51,FALSE))</f>
        <v>6.583333333333333</v>
      </c>
    </row>
    <row r="66" spans="1:33">
      <c r="A66">
        <v>2</v>
      </c>
      <c r="B66" s="36" t="s">
        <v>135</v>
      </c>
      <c r="C66" s="65" t="s">
        <v>453</v>
      </c>
      <c r="D66" s="37">
        <f>IF($C66="","",VLOOKUP($C66,CTPit!$E$10:$BG$214,D$1,FALSE))</f>
        <v>27</v>
      </c>
      <c r="E66" s="37" t="str">
        <f>IF($C66="","",VLOOKUP($C66,CTPit!$E$10:$BG$214,E$1+1,FALSE))</f>
        <v>R</v>
      </c>
      <c r="F66" s="53">
        <f t="shared" si="118"/>
        <v>0</v>
      </c>
      <c r="G66" s="5">
        <f t="shared" si="119"/>
        <v>0</v>
      </c>
      <c r="H66" s="3">
        <f t="shared" si="120"/>
        <v>1</v>
      </c>
      <c r="I66" s="100" t="str">
        <f>IF($C66="","",VLOOKUP($C66,CTPit!$E$10:$BG$72,I$51,FALSE))</f>
        <v>R</v>
      </c>
      <c r="J66" s="5">
        <f t="shared" si="121"/>
        <v>2</v>
      </c>
      <c r="K66" s="53">
        <f>IF($C66="","",VLOOKUP($C66,CTPit!$E$10:$BG$72,K$51,FALSE))</f>
        <v>4</v>
      </c>
      <c r="L66" s="5">
        <f>IF($C66="","",VLOOKUP($C66,CTPit!$E$10:$BG$72,L$51,FALSE))</f>
        <v>8</v>
      </c>
      <c r="M66" s="3">
        <f>IF($C66="","",VLOOKUP($C66,CTPit!$E$10:$BG$72,M$51,FALSE))</f>
        <v>7</v>
      </c>
      <c r="N66" s="5">
        <f>IF($C66="","",VLOOKUP($C66,CTPit!$E$10:$BG$72,N$51,FALSE))</f>
        <v>5</v>
      </c>
      <c r="O66" s="5" t="str">
        <f>IF($C66="","",VLOOKUP($C66,CTPit!$E$10:$BG$72,O$51,FALSE))</f>
        <v>-</v>
      </c>
      <c r="P66" s="5" t="str">
        <f>IF($C66="","",VLOOKUP($C66,CTPit!$E$10:$BG$72,P$51,FALSE))</f>
        <v>-</v>
      </c>
      <c r="Q66" s="5">
        <f>IF($C66="","",VLOOKUP($C66,CTPit!$E$10:$BG$72,Q$51,FALSE))</f>
        <v>4</v>
      </c>
      <c r="R66" s="5" t="str">
        <f>IF($C66="","",VLOOKUP($C66,CTPit!$E$10:$BG$72,R$51,FALSE))</f>
        <v>-</v>
      </c>
      <c r="S66" s="5" t="str">
        <f>IF($C66="","",VLOOKUP($C66,CTPit!$E$10:$BG$72,S$51,FALSE))</f>
        <v>-</v>
      </c>
      <c r="T66" s="5" t="str">
        <f>IF($C66="","",VLOOKUP($C66,CTPit!$E$10:$BG$72,T$51,FALSE))</f>
        <v>-</v>
      </c>
      <c r="U66" s="5" t="str">
        <f>IF($C66="","",VLOOKUP($C66,CTPit!$E$10:$BG$72,U$51,FALSE))</f>
        <v>-</v>
      </c>
      <c r="V66" s="5" t="str">
        <f>IF($C66="","",VLOOKUP($C66,CTPit!$E$10:$BG$72,V$51,FALSE))</f>
        <v>-</v>
      </c>
      <c r="W66" s="5" t="str">
        <f>IF($C66="","",VLOOKUP($C66,CTPit!$E$10:$BG$72,W$51,FALSE))</f>
        <v>-</v>
      </c>
      <c r="X66" s="5" t="str">
        <f>IF($C66="","",VLOOKUP($C66,CTPit!$E$10:$BG$72,X$51,FALSE))</f>
        <v>-</v>
      </c>
      <c r="Y66" s="3" t="str">
        <f>IF($C66="","",VLOOKUP($C66,CTPit!$E$10:$BG$72,Y$51,FALSE))</f>
        <v>-</v>
      </c>
      <c r="Z66" s="53" t="str">
        <f>IF($C66="","",VLOOKUP($C66,CTPit!$E$10:$BG$72,Z$51,FALSE))</f>
        <v>90-92 Mph</v>
      </c>
      <c r="AA66" s="5">
        <f>IF($C66="","",VLOOKUP($C66,CTPit!$E$10:$BG$72,AA$51,FALSE))</f>
        <v>2</v>
      </c>
      <c r="AB66" s="80">
        <f>IF($C66="","",VLOOKUP($C66,CTPit!$E$10:$BG$72,AB$51,FALSE))</f>
        <v>0.67</v>
      </c>
      <c r="AC66" s="67">
        <f>IF($C66="","",VLOOKUP($C66,CTPit!$E$10:$BG$72,AC$51,FALSE))</f>
        <v>6.583333333333333</v>
      </c>
      <c r="AD66" s="288">
        <f>IF($C66="","",VLOOKUP($C66,CTPit!$E$10:$BG$72,AD$51,FALSE))</f>
        <v>4</v>
      </c>
      <c r="AE66" s="288">
        <f>IF($C66="","",VLOOKUP($C66,CTPit!$E$10:$BG$72,AE$51,FALSE))</f>
        <v>8</v>
      </c>
      <c r="AF66" s="289">
        <f>IF($C66="","",VLOOKUP($C66,CTPit!$E$10:$BG$72,AF$51,FALSE))</f>
        <v>7</v>
      </c>
      <c r="AG66" s="67">
        <f>IF($C66="","",VLOOKUP($C66,CTPit!$E$10:$BG$72,AG$51,FALSE))</f>
        <v>6.583333333333333</v>
      </c>
    </row>
    <row r="67" spans="1:33">
      <c r="A67">
        <v>3</v>
      </c>
      <c r="B67" s="36" t="s">
        <v>19</v>
      </c>
      <c r="C67" s="65" t="s">
        <v>225</v>
      </c>
      <c r="D67" s="37">
        <f>IF($C67="","",VLOOKUP($C67,CTPit!$E$10:$BG$214,D$1,FALSE))</f>
        <v>23</v>
      </c>
      <c r="E67" s="37" t="str">
        <f>IF($C67="","",VLOOKUP($C67,CTPit!$E$10:$BG$214,E$1+1,FALSE))</f>
        <v>R</v>
      </c>
      <c r="F67" s="53">
        <f t="shared" si="118"/>
        <v>0</v>
      </c>
      <c r="G67" s="5">
        <f t="shared" si="119"/>
        <v>0</v>
      </c>
      <c r="H67" s="3">
        <f t="shared" si="120"/>
        <v>1</v>
      </c>
      <c r="I67" s="100" t="str">
        <f>IF($C67="","",VLOOKUP($C67,CTPit!$E$10:$BG$72,I$51,FALSE))</f>
        <v>R</v>
      </c>
      <c r="J67" s="5">
        <f t="shared" si="121"/>
        <v>4</v>
      </c>
      <c r="K67" s="53">
        <f>IF($C67="","",VLOOKUP($C67,CTPit!$E$10:$BG$72,K$51,FALSE))</f>
        <v>9</v>
      </c>
      <c r="L67" s="5">
        <f>IF($C67="","",VLOOKUP($C67,CTPit!$E$10:$BG$72,L$51,FALSE))</f>
        <v>6</v>
      </c>
      <c r="M67" s="3">
        <f>IF($C67="","",VLOOKUP($C67,CTPit!$E$10:$BG$72,M$51,FALSE))</f>
        <v>4</v>
      </c>
      <c r="N67" s="5">
        <f>IF($C67="","",VLOOKUP($C67,CTPit!$E$10:$BG$72,N$51,FALSE))</f>
        <v>8</v>
      </c>
      <c r="O67" s="5">
        <f>IF($C67="","",VLOOKUP($C67,CTPit!$E$10:$BG$72,O$51,FALSE))</f>
        <v>3</v>
      </c>
      <c r="P67" s="5" t="str">
        <f>IF($C67="","",VLOOKUP($C67,CTPit!$E$10:$BG$72,P$51,FALSE))</f>
        <v>-</v>
      </c>
      <c r="Q67" s="5">
        <f>IF($C67="","",VLOOKUP($C67,CTPit!$E$10:$BG$72,Q$51,FALSE))</f>
        <v>5</v>
      </c>
      <c r="R67" s="5">
        <f>IF($C67="","",VLOOKUP($C67,CTPit!$E$10:$BG$72,R$51,FALSE))</f>
        <v>7</v>
      </c>
      <c r="S67" s="5" t="str">
        <f>IF($C67="","",VLOOKUP($C67,CTPit!$E$10:$BG$72,S$51,FALSE))</f>
        <v>-</v>
      </c>
      <c r="T67" s="5" t="str">
        <f>IF($C67="","",VLOOKUP($C67,CTPit!$E$10:$BG$72,T$51,FALSE))</f>
        <v>-</v>
      </c>
      <c r="U67" s="5" t="str">
        <f>IF($C67="","",VLOOKUP($C67,CTPit!$E$10:$BG$72,U$51,FALSE))</f>
        <v>-</v>
      </c>
      <c r="V67" s="5" t="str">
        <f>IF($C67="","",VLOOKUP($C67,CTPit!$E$10:$BG$72,V$51,FALSE))</f>
        <v>-</v>
      </c>
      <c r="W67" s="5" t="str">
        <f>IF($C67="","",VLOOKUP($C67,CTPit!$E$10:$BG$72,W$51,FALSE))</f>
        <v>-</v>
      </c>
      <c r="X67" s="5" t="str">
        <f>IF($C67="","",VLOOKUP($C67,CTPit!$E$10:$BG$72,X$51,FALSE))</f>
        <v>-</v>
      </c>
      <c r="Y67" s="3" t="str">
        <f>IF($C67="","",VLOOKUP($C67,CTPit!$E$10:$BG$72,Y$51,FALSE))</f>
        <v>-</v>
      </c>
      <c r="Z67" s="53" t="str">
        <f>IF($C67="","",VLOOKUP($C67,CTPit!$E$10:$BG$72,Z$51,FALSE))</f>
        <v>99-101 Mph</v>
      </c>
      <c r="AA67" s="5">
        <f>IF($C67="","",VLOOKUP($C67,CTPit!$E$10:$BG$72,AA$51,FALSE))</f>
        <v>9</v>
      </c>
      <c r="AB67" s="80">
        <f>IF($C67="","",VLOOKUP($C67,CTPit!$E$10:$BG$72,AB$51,FALSE))</f>
        <v>0.6</v>
      </c>
      <c r="AC67" s="67">
        <f>IF($C67="","",VLOOKUP($C67,CTPit!$E$10:$BG$72,AC$51,FALSE))</f>
        <v>7.083333333333333</v>
      </c>
      <c r="AD67" s="288">
        <f>IF($C67="","",VLOOKUP($C67,CTPit!$E$10:$BG$72,AD$51,FALSE))</f>
        <v>9</v>
      </c>
      <c r="AE67" s="288">
        <f>IF($C67="","",VLOOKUP($C67,CTPit!$E$10:$BG$72,AE$51,FALSE))</f>
        <v>6</v>
      </c>
      <c r="AF67" s="289">
        <f>IF($C67="","",VLOOKUP($C67,CTPit!$E$10:$BG$72,AF$51,FALSE))</f>
        <v>4</v>
      </c>
      <c r="AG67" s="67">
        <f>IF($C67="","",VLOOKUP($C67,CTPit!$E$10:$BG$72,AG$51,FALSE))</f>
        <v>7.083333333333333</v>
      </c>
    </row>
    <row r="68" spans="1:33">
      <c r="A68">
        <v>4</v>
      </c>
      <c r="B68" s="36" t="s">
        <v>19</v>
      </c>
      <c r="C68" s="65" t="s">
        <v>598</v>
      </c>
      <c r="D68" s="37">
        <f>IF($C68="","",VLOOKUP($C68,CTPit!$E$10:$BG$214,D$1,FALSE))</f>
        <v>29</v>
      </c>
      <c r="E68" s="37" t="str">
        <f>IF($C68="","",VLOOKUP($C68,CTPit!$E$10:$BG$214,E$1+1,FALSE))</f>
        <v>R</v>
      </c>
      <c r="F68" s="53">
        <f t="shared" si="118"/>
        <v>0</v>
      </c>
      <c r="G68" s="5">
        <f t="shared" si="119"/>
        <v>1</v>
      </c>
      <c r="H68" s="3">
        <f t="shared" si="120"/>
        <v>1</v>
      </c>
      <c r="I68" s="100" t="str">
        <f>IF($C68="","",VLOOKUP($C68,CTPit!$E$10:$BG$72,I$51,FALSE))</f>
        <v>R</v>
      </c>
      <c r="J68" s="5">
        <f t="shared" si="121"/>
        <v>3</v>
      </c>
      <c r="K68" s="53">
        <f>IF($C68="","",VLOOKUP($C68,CTPit!$E$10:$BG$72,K$51,FALSE))</f>
        <v>5</v>
      </c>
      <c r="L68" s="5">
        <f>IF($C68="","",VLOOKUP($C68,CTPit!$E$10:$BG$72,L$51,FALSE))</f>
        <v>8</v>
      </c>
      <c r="M68" s="3">
        <f>IF($C68="","",VLOOKUP($C68,CTPit!$E$10:$BG$72,M$51,FALSE))</f>
        <v>7</v>
      </c>
      <c r="N68" s="5">
        <f>IF($C68="","",VLOOKUP($C68,CTPit!$E$10:$BG$72,N$51,FALSE))</f>
        <v>4</v>
      </c>
      <c r="O68" s="5" t="str">
        <f>IF($C68="","",VLOOKUP($C68,CTPit!$E$10:$BG$72,O$51,FALSE))</f>
        <v>-</v>
      </c>
      <c r="P68" s="5" t="str">
        <f>IF($C68="","",VLOOKUP($C68,CTPit!$E$10:$BG$72,P$51,FALSE))</f>
        <v>-</v>
      </c>
      <c r="Q68" s="5">
        <f>IF($C68="","",VLOOKUP($C68,CTPit!$E$10:$BG$72,Q$51,FALSE))</f>
        <v>5</v>
      </c>
      <c r="R68" s="5" t="str">
        <f>IF($C68="","",VLOOKUP($C68,CTPit!$E$10:$BG$72,R$51,FALSE))</f>
        <v>-</v>
      </c>
      <c r="S68" s="5">
        <f>IF($C68="","",VLOOKUP($C68,CTPit!$E$10:$BG$72,S$51,FALSE))</f>
        <v>5</v>
      </c>
      <c r="T68" s="5" t="str">
        <f>IF($C68="","",VLOOKUP($C68,CTPit!$E$10:$BG$72,T$51,FALSE))</f>
        <v>-</v>
      </c>
      <c r="U68" s="5" t="str">
        <f>IF($C68="","",VLOOKUP($C68,CTPit!$E$10:$BG$72,U$51,FALSE))</f>
        <v>-</v>
      </c>
      <c r="V68" s="5" t="str">
        <f>IF($C68="","",VLOOKUP($C68,CTPit!$E$10:$BG$72,V$51,FALSE))</f>
        <v>-</v>
      </c>
      <c r="W68" s="5" t="str">
        <f>IF($C68="","",VLOOKUP($C68,CTPit!$E$10:$BG$72,W$51,FALSE))</f>
        <v>-</v>
      </c>
      <c r="X68" s="5" t="str">
        <f>IF($C68="","",VLOOKUP($C68,CTPit!$E$10:$BG$72,X$51,FALSE))</f>
        <v>-</v>
      </c>
      <c r="Y68" s="3" t="str">
        <f>IF($C68="","",VLOOKUP($C68,CTPit!$E$10:$BG$72,Y$51,FALSE))</f>
        <v>-</v>
      </c>
      <c r="Z68" s="53" t="str">
        <f>IF($C68="","",VLOOKUP($C68,CTPit!$E$10:$BG$72,Z$51,FALSE))</f>
        <v>87-89 Mph</v>
      </c>
      <c r="AA68" s="5">
        <f>IF($C68="","",VLOOKUP($C68,CTPit!$E$10:$BG$72,AA$51,FALSE))</f>
        <v>6</v>
      </c>
      <c r="AB68" s="80">
        <f>IF($C68="","",VLOOKUP($C68,CTPit!$E$10:$BG$72,AB$51,FALSE))</f>
        <v>0.6</v>
      </c>
      <c r="AC68" s="67">
        <f>IF($C68="","",VLOOKUP($C68,CTPit!$E$10:$BG$72,AC$51,FALSE))</f>
        <v>6.916666666666667</v>
      </c>
      <c r="AD68" s="288">
        <f>IF($C68="","",VLOOKUP($C68,CTPit!$E$10:$BG$72,AD$51,FALSE))</f>
        <v>5</v>
      </c>
      <c r="AE68" s="288">
        <f>IF($C68="","",VLOOKUP($C68,CTPit!$E$10:$BG$72,AE$51,FALSE))</f>
        <v>8</v>
      </c>
      <c r="AF68" s="289">
        <f>IF($C68="","",VLOOKUP($C68,CTPit!$E$10:$BG$72,AF$51,FALSE))</f>
        <v>7</v>
      </c>
      <c r="AG68" s="67">
        <f>IF($C68="","",VLOOKUP($C68,CTPit!$E$10:$BG$72,AG$51,FALSE))</f>
        <v>6.916666666666667</v>
      </c>
    </row>
    <row r="69" spans="1:33">
      <c r="A69">
        <v>5</v>
      </c>
      <c r="B69" s="36" t="s">
        <v>19</v>
      </c>
      <c r="C69" s="65" t="s">
        <v>433</v>
      </c>
      <c r="D69" s="37">
        <f>IF($C69="","",VLOOKUP($C69,CTPit!$E$10:$BG$214,D$1,FALSE))</f>
        <v>23</v>
      </c>
      <c r="E69" s="37" t="str">
        <f>IF($C69="","",VLOOKUP($C69,CTPit!$E$10:$BG$214,E$1+1,FALSE))</f>
        <v>L</v>
      </c>
      <c r="F69" s="53">
        <f t="shared" si="118"/>
        <v>0</v>
      </c>
      <c r="G69" s="5">
        <f t="shared" si="119"/>
        <v>0</v>
      </c>
      <c r="H69" s="3">
        <f t="shared" si="120"/>
        <v>0</v>
      </c>
      <c r="I69" s="100" t="str">
        <f>IF($C69="","",VLOOKUP($C69,CTPit!$E$10:$BG$72,I$51,FALSE))</f>
        <v>L</v>
      </c>
      <c r="J69" s="5">
        <f t="shared" si="121"/>
        <v>3</v>
      </c>
      <c r="K69" s="53">
        <f>IF($C69="","",VLOOKUP($C69,CTPit!$E$10:$BG$72,K$51,FALSE))</f>
        <v>8</v>
      </c>
      <c r="L69" s="5">
        <f>IF($C69="","",VLOOKUP($C69,CTPit!$E$10:$BG$72,L$51,FALSE))</f>
        <v>6</v>
      </c>
      <c r="M69" s="3">
        <f>IF($C69="","",VLOOKUP($C69,CTPit!$E$10:$BG$72,M$51,FALSE))</f>
        <v>3</v>
      </c>
      <c r="N69" s="5">
        <f>IF($C69="","",VLOOKUP($C69,CTPit!$E$10:$BG$72,N$51,FALSE))</f>
        <v>8</v>
      </c>
      <c r="O69" s="5">
        <f>IF($C69="","",VLOOKUP($C69,CTPit!$E$10:$BG$72,O$51,FALSE))</f>
        <v>4</v>
      </c>
      <c r="P69" s="5" t="str">
        <f>IF($C69="","",VLOOKUP($C69,CTPit!$E$10:$BG$72,P$51,FALSE))</f>
        <v>-</v>
      </c>
      <c r="Q69" s="5">
        <f>IF($C69="","",VLOOKUP($C69,CTPit!$E$10:$BG$72,Q$51,FALSE))</f>
        <v>6</v>
      </c>
      <c r="R69" s="5" t="str">
        <f>IF($C69="","",VLOOKUP($C69,CTPit!$E$10:$BG$72,R$51,FALSE))</f>
        <v>-</v>
      </c>
      <c r="S69" s="5" t="str">
        <f>IF($C69="","",VLOOKUP($C69,CTPit!$E$10:$BG$72,S$51,FALSE))</f>
        <v>-</v>
      </c>
      <c r="T69" s="5" t="str">
        <f>IF($C69="","",VLOOKUP($C69,CTPit!$E$10:$BG$72,T$51,FALSE))</f>
        <v>-</v>
      </c>
      <c r="U69" s="5" t="str">
        <f>IF($C69="","",VLOOKUP($C69,CTPit!$E$10:$BG$72,U$51,FALSE))</f>
        <v>-</v>
      </c>
      <c r="V69" s="5" t="str">
        <f>IF($C69="","",VLOOKUP($C69,CTPit!$E$10:$BG$72,V$51,FALSE))</f>
        <v>-</v>
      </c>
      <c r="W69" s="5" t="str">
        <f>IF($C69="","",VLOOKUP($C69,CTPit!$E$10:$BG$72,W$51,FALSE))</f>
        <v>-</v>
      </c>
      <c r="X69" s="5" t="str">
        <f>IF($C69="","",VLOOKUP($C69,CTPit!$E$10:$BG$72,X$51,FALSE))</f>
        <v>-</v>
      </c>
      <c r="Y69" s="3" t="str">
        <f>IF($C69="","",VLOOKUP($C69,CTPit!$E$10:$BG$72,Y$51,FALSE))</f>
        <v>-</v>
      </c>
      <c r="Z69" s="53" t="str">
        <f>IF($C69="","",VLOOKUP($C69,CTPit!$E$10:$BG$72,Z$51,FALSE))</f>
        <v>99-101 Mph</v>
      </c>
      <c r="AA69" s="5">
        <f>IF($C69="","",VLOOKUP($C69,CTPit!$E$10:$BG$72,AA$51,FALSE))</f>
        <v>10</v>
      </c>
      <c r="AB69" s="80">
        <f>IF($C69="","",VLOOKUP($C69,CTPit!$E$10:$BG$72,AB$51,FALSE))</f>
        <v>0.61</v>
      </c>
      <c r="AC69" s="67">
        <f>IF($C69="","",VLOOKUP($C69,CTPit!$E$10:$BG$72,AC$51,FALSE))</f>
        <v>6.166666666666667</v>
      </c>
      <c r="AD69" s="288">
        <f>IF($C69="","",VLOOKUP($C69,CTPit!$E$10:$BG$72,AD$51,FALSE))</f>
        <v>9</v>
      </c>
      <c r="AE69" s="288">
        <f>IF($C69="","",VLOOKUP($C69,CTPit!$E$10:$BG$72,AE$51,FALSE))</f>
        <v>6</v>
      </c>
      <c r="AF69" s="289">
        <f>IF($C69="","",VLOOKUP($C69,CTPit!$E$10:$BG$72,AF$51,FALSE))</f>
        <v>3</v>
      </c>
      <c r="AG69" s="67">
        <f>IF($C69="","",VLOOKUP($C69,CTPit!$E$10:$BG$72,AG$51,FALSE))</f>
        <v>6.5</v>
      </c>
    </row>
    <row r="70" spans="1:33">
      <c r="A70">
        <v>6</v>
      </c>
      <c r="B70" s="39" t="s">
        <v>19</v>
      </c>
      <c r="C70" s="40"/>
      <c r="D70" s="40" t="str">
        <f>IF($C70="","",VLOOKUP($C70,CTPit!$E$10:$BG$214,D$1,FALSE))</f>
        <v/>
      </c>
      <c r="E70" s="40" t="str">
        <f>IF($C70="","",VLOOKUP($C70,CTPit!$E$10:$BG$214,E$1+1,FALSE))</f>
        <v/>
      </c>
      <c r="F70" s="54" t="str">
        <f t="shared" si="118"/>
        <v/>
      </c>
      <c r="G70" s="41" t="str">
        <f t="shared" si="119"/>
        <v/>
      </c>
      <c r="H70" s="62" t="str">
        <f t="shared" si="120"/>
        <v/>
      </c>
      <c r="I70" s="101" t="str">
        <f>IF($C70="","",VLOOKUP($C70,CTPit!$E$10:$BG$72,I$51,FALSE))</f>
        <v/>
      </c>
      <c r="J70" s="41" t="str">
        <f t="shared" si="121"/>
        <v/>
      </c>
      <c r="K70" s="54" t="str">
        <f>IF($C70="","",VLOOKUP($C70,CTPit!$E$10:$BG$72,K$51,FALSE))</f>
        <v/>
      </c>
      <c r="L70" s="41" t="str">
        <f>IF($C70="","",VLOOKUP($C70,CTPit!$E$10:$BG$72,L$51,FALSE))</f>
        <v/>
      </c>
      <c r="M70" s="62" t="str">
        <f>IF($C70="","",VLOOKUP($C70,CTPit!$E$10:$BG$72,M$51,FALSE))</f>
        <v/>
      </c>
      <c r="N70" s="41" t="str">
        <f>IF($C70="","",VLOOKUP($C70,CTPit!$E$10:$BG$72,N$51,FALSE))</f>
        <v/>
      </c>
      <c r="O70" s="41" t="str">
        <f>IF($C70="","",VLOOKUP($C70,CTPit!$E$10:$BG$72,O$51,FALSE))</f>
        <v/>
      </c>
      <c r="P70" s="41" t="str">
        <f>IF($C70="","",VLOOKUP($C70,CTPit!$E$10:$BG$72,P$51,FALSE))</f>
        <v/>
      </c>
      <c r="Q70" s="41" t="str">
        <f>IF($C70="","",VLOOKUP($C70,CTPit!$E$10:$BG$72,Q$51,FALSE))</f>
        <v/>
      </c>
      <c r="R70" s="41" t="str">
        <f>IF($C70="","",VLOOKUP($C70,CTPit!$E$10:$BG$72,R$51,FALSE))</f>
        <v/>
      </c>
      <c r="S70" s="41" t="str">
        <f>IF($C70="","",VLOOKUP($C70,CTPit!$E$10:$BG$72,S$51,FALSE))</f>
        <v/>
      </c>
      <c r="T70" s="41" t="str">
        <f>IF($C70="","",VLOOKUP($C70,CTPit!$E$10:$BG$72,T$51,FALSE))</f>
        <v/>
      </c>
      <c r="U70" s="41" t="str">
        <f>IF($C70="","",VLOOKUP($C70,CTPit!$E$10:$BG$72,U$51,FALSE))</f>
        <v/>
      </c>
      <c r="V70" s="41" t="str">
        <f>IF($C70="","",VLOOKUP($C70,CTPit!$E$10:$BG$72,V$51,FALSE))</f>
        <v/>
      </c>
      <c r="W70" s="41" t="str">
        <f>IF($C70="","",VLOOKUP($C70,CTPit!$E$10:$BG$72,W$51,FALSE))</f>
        <v/>
      </c>
      <c r="X70" s="41" t="str">
        <f>IF($C70="","",VLOOKUP($C70,CTPit!$E$10:$BG$72,X$51,FALSE))</f>
        <v/>
      </c>
      <c r="Y70" s="62" t="str">
        <f>IF($C70="","",VLOOKUP($C70,CTPit!$E$10:$BG$72,Y$51,FALSE))</f>
        <v/>
      </c>
      <c r="Z70" s="54" t="str">
        <f>IF($C70="","",VLOOKUP($C70,CTPit!$E$10:$BG$72,Z$51,FALSE))</f>
        <v/>
      </c>
      <c r="AA70" s="41" t="str">
        <f>IF($C70="","",VLOOKUP($C70,CTPit!$E$10:$BG$72,AA$51,FALSE))</f>
        <v/>
      </c>
      <c r="AB70" s="81" t="str">
        <f>IF($C70="","",VLOOKUP($C70,CTPit!$E$10:$BG$72,AB$51,FALSE))</f>
        <v/>
      </c>
      <c r="AC70" s="68" t="str">
        <f>IF($C70="","",VLOOKUP($C70,CTPit!$E$10:$BG$72,AC$51,FALSE))</f>
        <v/>
      </c>
      <c r="AD70" s="286" t="str">
        <f>IF($C70="","",VLOOKUP($C70,CTPit!$E$10:$BG$72,AD$51,FALSE))</f>
        <v/>
      </c>
      <c r="AE70" s="286" t="str">
        <f>IF($C70="","",VLOOKUP($C70,CTPit!$E$10:$BG$72,AE$51,FALSE))</f>
        <v/>
      </c>
      <c r="AF70" s="287" t="str">
        <f>IF($C70="","",VLOOKUP($C70,CTPit!$E$10:$BG$72,AF$51,FALSE))</f>
        <v/>
      </c>
      <c r="AG70" s="68" t="str">
        <f>IF($C70="","",VLOOKUP($C70,CTPit!$E$10:$BG$72,AG$51,FALSE))</f>
        <v/>
      </c>
    </row>
  </sheetData>
  <mergeCells count="6">
    <mergeCell ref="AG26:AT26"/>
    <mergeCell ref="AH31:AT31"/>
    <mergeCell ref="AH29:AT29"/>
    <mergeCell ref="AH27:AT27"/>
    <mergeCell ref="AH30:AT30"/>
    <mergeCell ref="AH28:AT28"/>
  </mergeCells>
  <conditionalFormatting sqref="G13">
    <cfRule type="expression" dxfId="157" priority="18">
      <formula>IF(SUM(G14:G19)&gt;1,1,0)</formula>
    </cfRule>
  </conditionalFormatting>
  <conditionalFormatting sqref="H13">
    <cfRule type="expression" dxfId="156" priority="17">
      <formula>IF(SUM(H14:H19)&gt;1,1,0)</formula>
    </cfRule>
  </conditionalFormatting>
  <conditionalFormatting sqref="F13">
    <cfRule type="expression" dxfId="155" priority="16">
      <formula>IF(SUM(F14:F19)&gt;1,1,0)</formula>
    </cfRule>
  </conditionalFormatting>
  <conditionalFormatting sqref="I2">
    <cfRule type="expression" dxfId="154" priority="14">
      <formula>-IF(SUM(I3:I11)&gt;1,1,0)</formula>
    </cfRule>
  </conditionalFormatting>
  <conditionalFormatting sqref="H2">
    <cfRule type="expression" dxfId="153" priority="13">
      <formula>-IF(SUM(H3:H11)&gt;1,1,0)</formula>
    </cfRule>
  </conditionalFormatting>
  <conditionalFormatting sqref="F21">
    <cfRule type="expression" dxfId="152" priority="12">
      <formula>IF(SUM($F$22:$F$24)&gt;1,1,0)</formula>
    </cfRule>
  </conditionalFormatting>
  <conditionalFormatting sqref="F52">
    <cfRule type="expression" dxfId="151" priority="11">
      <formula>IF(SUM($F$53:$F$58)&gt;1,1,0)</formula>
    </cfRule>
  </conditionalFormatting>
  <conditionalFormatting sqref="H52">
    <cfRule type="expression" dxfId="150" priority="10">
      <formula>IF(SUM($H$53:$H$58)&gt;3,1,0)</formula>
    </cfRule>
  </conditionalFormatting>
  <conditionalFormatting sqref="G52">
    <cfRule type="expression" dxfId="149" priority="9">
      <formula>IF(SUM($G$53:$G$58)&gt;2,1,0)</formula>
    </cfRule>
  </conditionalFormatting>
  <conditionalFormatting sqref="C22:C24 C14:C19 C3:C11">
    <cfRule type="expression" dxfId="148" priority="5">
      <formula>IF($AK3&lt;4.5,1,0)</formula>
    </cfRule>
    <cfRule type="expression" dxfId="147" priority="6">
      <formula>IF($AK3&gt;7,1,0)</formula>
    </cfRule>
  </conditionalFormatting>
  <conditionalFormatting sqref="C15">
    <cfRule type="expression" dxfId="146" priority="3">
      <formula>IF($AK15&lt;4.5,1,0)</formula>
    </cfRule>
    <cfRule type="expression" dxfId="145" priority="4">
      <formula>IF($AK15&gt;7,1,0)</formula>
    </cfRule>
  </conditionalFormatting>
  <conditionalFormatting sqref="F2">
    <cfRule type="expression" dxfId="144" priority="2">
      <formula>IF(SUM(F3:F11)&gt;1,1,0)</formula>
    </cfRule>
  </conditionalFormatting>
  <conditionalFormatting sqref="G2">
    <cfRule type="expression" dxfId="143" priority="1">
      <formula>IF(SUM(G3:G11)&gt;1,1,0)</formula>
    </cfRule>
  </conditionalFormatting>
  <pageMargins left="0.7" right="0.7" top="0.75" bottom="0.75" header="0.3" footer="0.3"/>
  <pageSetup orientation="portrait" r:id="rId1"/>
  <ignoredErrors>
    <ignoredError sqref="J53:J58 J61:J62 J68:J70 J65:J6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codeName="Sheet13">
    <tabColor theme="2" tint="-0.499984740745262"/>
  </sheetPr>
  <dimension ref="A1:BA59"/>
  <sheetViews>
    <sheetView zoomScale="85" zoomScaleNormal="85" workbookViewId="0">
      <selection activeCell="D15" sqref="D15"/>
    </sheetView>
  </sheetViews>
  <sheetFormatPr defaultRowHeight="15"/>
  <cols>
    <col min="1" max="1" width="2" bestFit="1" customWidth="1"/>
    <col min="2" max="2" width="6.85546875" style="258" bestFit="1" customWidth="1"/>
    <col min="3" max="3" width="10.7109375" style="1" bestFit="1" customWidth="1"/>
    <col min="4" max="4" width="20" style="26" bestFit="1" customWidth="1"/>
    <col min="5" max="5" width="4.42578125" style="26" bestFit="1" customWidth="1"/>
    <col min="6" max="6" width="4.42578125" style="26" customWidth="1"/>
    <col min="7" max="7" width="4.42578125" bestFit="1" customWidth="1"/>
    <col min="8" max="8" width="3.7109375" bestFit="1" customWidth="1"/>
    <col min="9" max="9" width="4.7109375" bestFit="1" customWidth="1"/>
    <col min="10" max="10" width="4.28515625" customWidth="1"/>
    <col min="11" max="13" width="3.7109375" customWidth="1"/>
    <col min="14" max="17" width="3.7109375" bestFit="1" customWidth="1"/>
    <col min="18" max="18" width="4.28515625" bestFit="1" customWidth="1"/>
    <col min="19" max="19" width="4.7109375" bestFit="1" customWidth="1"/>
    <col min="20" max="22" width="3.7109375" bestFit="1" customWidth="1"/>
    <col min="23" max="23" width="4.28515625" bestFit="1" customWidth="1"/>
    <col min="24" max="24" width="4.7109375" bestFit="1" customWidth="1"/>
    <col min="25" max="25" width="4.28515625" customWidth="1"/>
    <col min="26" max="26" width="4.28515625" bestFit="1" customWidth="1"/>
    <col min="27" max="27" width="10.42578125" bestFit="1" customWidth="1"/>
    <col min="28" max="28" width="4.28515625" bestFit="1" customWidth="1"/>
    <col min="29" max="29" width="4.7109375" bestFit="1" customWidth="1"/>
    <col min="30" max="37" width="3.7109375" bestFit="1" customWidth="1"/>
    <col min="38" max="38" width="4.5703125" bestFit="1" customWidth="1"/>
    <col min="39" max="52" width="3.7109375" bestFit="1" customWidth="1"/>
    <col min="53" max="53" width="4.5703125" bestFit="1" customWidth="1"/>
  </cols>
  <sheetData>
    <row r="1" spans="1:53">
      <c r="E1" s="26">
        <v>4</v>
      </c>
      <c r="F1" s="26">
        <v>5</v>
      </c>
      <c r="K1">
        <v>23</v>
      </c>
      <c r="L1">
        <v>21</v>
      </c>
      <c r="M1">
        <v>22</v>
      </c>
      <c r="N1">
        <v>24</v>
      </c>
      <c r="O1">
        <v>25</v>
      </c>
      <c r="P1">
        <v>26</v>
      </c>
      <c r="Q1">
        <v>27</v>
      </c>
      <c r="R1">
        <v>28</v>
      </c>
      <c r="S1">
        <v>29</v>
      </c>
      <c r="T1">
        <v>30</v>
      </c>
      <c r="U1">
        <v>31</v>
      </c>
      <c r="AE1">
        <v>11</v>
      </c>
      <c r="AF1">
        <v>12</v>
      </c>
      <c r="AG1">
        <v>13</v>
      </c>
      <c r="AH1">
        <v>14</v>
      </c>
      <c r="AI1">
        <v>15</v>
      </c>
      <c r="AJ1">
        <v>32</v>
      </c>
      <c r="AK1">
        <v>33</v>
      </c>
      <c r="AV1">
        <v>16</v>
      </c>
      <c r="AW1">
        <v>17</v>
      </c>
      <c r="AX1">
        <v>18</v>
      </c>
      <c r="AY1">
        <v>19</v>
      </c>
      <c r="AZ1">
        <v>20</v>
      </c>
    </row>
    <row r="2" spans="1:53" s="24" customFormat="1" ht="215.25">
      <c r="A2" s="25" t="s">
        <v>196</v>
      </c>
      <c r="B2" s="259" t="s">
        <v>520</v>
      </c>
      <c r="C2" s="244" t="s">
        <v>127</v>
      </c>
      <c r="D2" s="44" t="str">
        <f>"Player ("&amp;COUNTA(D3:D11)&amp;")"</f>
        <v>Player (4)</v>
      </c>
      <c r="E2" s="44" t="s">
        <v>94</v>
      </c>
      <c r="F2" s="44" t="s">
        <v>104</v>
      </c>
      <c r="G2" s="51" t="str">
        <f>"Only 1 guy who plays only 1B ("&amp;SUM(G3:G11)&amp;")"</f>
        <v>Only 1 guy who plays only 1B (1)</v>
      </c>
      <c r="H2" s="45" t="str">
        <f>"Only 1 guy who can only play 1B or LF ("&amp;SUM(H3:H11)&amp;")"</f>
        <v>Only 1 guy who can only play 1B or LF (1)</v>
      </c>
      <c r="I2" s="46" t="str">
        <f>"2 guys with RF arms ("&amp;SUM(I3:I11)&amp;")"</f>
        <v>2 guys with RF arms (2)</v>
      </c>
      <c r="J2" s="46" t="str">
        <f>"2 guys with CF range ("&amp;SUM(J3:J11)&amp;")"</f>
        <v>2 guys with CF range (2)</v>
      </c>
      <c r="K2" s="55" t="s">
        <v>139</v>
      </c>
      <c r="L2" s="47" t="s">
        <v>137</v>
      </c>
      <c r="M2" s="56" t="s">
        <v>138</v>
      </c>
      <c r="N2" s="48" t="s">
        <v>95</v>
      </c>
      <c r="O2" s="48" t="s">
        <v>97</v>
      </c>
      <c r="P2" s="48" t="s">
        <v>98</v>
      </c>
      <c r="Q2" s="48" t="s">
        <v>99</v>
      </c>
      <c r="R2" s="48" t="s">
        <v>100</v>
      </c>
      <c r="S2" s="48" t="s">
        <v>101</v>
      </c>
      <c r="T2" s="48" t="s">
        <v>102</v>
      </c>
      <c r="U2" s="49" t="s">
        <v>103</v>
      </c>
      <c r="V2" s="51" t="s">
        <v>140</v>
      </c>
      <c r="W2" s="45" t="s">
        <v>184</v>
      </c>
      <c r="X2" s="45" t="s">
        <v>141</v>
      </c>
      <c r="Y2" s="45" t="s">
        <v>157</v>
      </c>
      <c r="Z2" s="45" t="s">
        <v>156</v>
      </c>
      <c r="AA2" s="45" t="s">
        <v>144</v>
      </c>
      <c r="AB2" s="45" t="s">
        <v>145</v>
      </c>
      <c r="AC2" s="45" t="s">
        <v>162</v>
      </c>
      <c r="AD2" s="60" t="s">
        <v>146</v>
      </c>
      <c r="AE2" s="48" t="s">
        <v>150</v>
      </c>
      <c r="AF2" s="48" t="s">
        <v>151</v>
      </c>
      <c r="AG2" s="48" t="s">
        <v>152</v>
      </c>
      <c r="AH2" s="48" t="s">
        <v>153</v>
      </c>
      <c r="AI2" s="48" t="s">
        <v>29</v>
      </c>
      <c r="AJ2" s="63" t="s">
        <v>154</v>
      </c>
      <c r="AK2" s="49" t="s">
        <v>155</v>
      </c>
      <c r="AL2" s="66" t="s">
        <v>160</v>
      </c>
      <c r="AM2" s="51" t="s">
        <v>140</v>
      </c>
      <c r="AN2" s="45" t="s">
        <v>184</v>
      </c>
      <c r="AO2" s="45" t="s">
        <v>141</v>
      </c>
      <c r="AP2" s="45" t="s">
        <v>157</v>
      </c>
      <c r="AQ2" s="45" t="s">
        <v>156</v>
      </c>
      <c r="AR2" s="45" t="s">
        <v>144</v>
      </c>
      <c r="AS2" s="45" t="s">
        <v>145</v>
      </c>
      <c r="AT2" s="45" t="s">
        <v>162</v>
      </c>
      <c r="AU2" s="60" t="s">
        <v>146</v>
      </c>
      <c r="AV2" s="63" t="s">
        <v>150</v>
      </c>
      <c r="AW2" s="48" t="s">
        <v>151</v>
      </c>
      <c r="AX2" s="48" t="s">
        <v>152</v>
      </c>
      <c r="AY2" s="48" t="s">
        <v>153</v>
      </c>
      <c r="AZ2" s="49" t="s">
        <v>29</v>
      </c>
      <c r="BA2" s="66" t="s">
        <v>201</v>
      </c>
    </row>
    <row r="3" spans="1:53">
      <c r="A3">
        <v>1</v>
      </c>
      <c r="B3" s="265">
        <v>2019</v>
      </c>
      <c r="C3" s="32" t="s">
        <v>97</v>
      </c>
      <c r="D3" s="37" t="s">
        <v>462</v>
      </c>
      <c r="E3" s="33">
        <f>IF($D3="","",VLOOKUP($D3,CTBat!$G$10:$BR$208,E$1,FALSE))</f>
        <v>23</v>
      </c>
      <c r="F3" s="33" t="str">
        <f>IF($D3="","",VLOOKUP($D3,CTBat!$G$10:$BR$208,F$1,FALSE))</f>
        <v>R</v>
      </c>
      <c r="G3" s="52">
        <f>IF($D3="","",IF(AND(O3&gt;0,O3=SUM(N3:U3)),1,0))</f>
        <v>1</v>
      </c>
      <c r="H3" s="34">
        <f>IF($D3="","",IF(AND(OR(O3&gt;0,S3&gt;0),SUM(O3,S3)=SUM(N3:U3)),1,0))</f>
        <v>1</v>
      </c>
      <c r="I3" s="34">
        <f>IF($D3="","",IF(M3&gt;6,1,0))</f>
        <v>0</v>
      </c>
      <c r="J3" s="34">
        <f t="shared" ref="J3:J7" si="0">IF($D3="","",IF(AND(T3&gt;4,T3&lt;&gt;"-"),1,0))</f>
        <v>0</v>
      </c>
      <c r="K3" s="57">
        <f>IF($D3="","",VLOOKUP($D3,CTBat!$G$10:$BR$208,K$1,FALSE))</f>
        <v>1</v>
      </c>
      <c r="L3" s="33">
        <f>IF($D3="","",VLOOKUP($D3,CTBat!$G$10:$BR$208,L$1,FALSE))</f>
        <v>5</v>
      </c>
      <c r="M3" s="35">
        <f>IF($D3="","",VLOOKUP($D3,CTBat!$G$10:$BR$208,M$1,FALSE))</f>
        <v>3</v>
      </c>
      <c r="N3" s="33" t="str">
        <f>IF($D3="","",VLOOKUP($D3,CTBat!$G$10:$BR$208,N$1,FALSE))</f>
        <v>-</v>
      </c>
      <c r="O3" s="33">
        <f>IF($D3="","",VLOOKUP($D3,CTBat!$G$10:$BR$208,O$1,FALSE))</f>
        <v>7</v>
      </c>
      <c r="P3" s="33" t="str">
        <f>IF($D3="","",VLOOKUP($D3,CTBat!$G$10:$BR$208,P$1,FALSE))</f>
        <v>-</v>
      </c>
      <c r="Q3" s="33" t="str">
        <f>IF($D3="","",VLOOKUP($D3,CTBat!$G$10:$BR$208,Q$1,FALSE))</f>
        <v>-</v>
      </c>
      <c r="R3" s="33" t="str">
        <f>IF($D3="","",VLOOKUP($D3,CTBat!$G$10:$BR$208,R$1,FALSE))</f>
        <v>-</v>
      </c>
      <c r="S3" s="33" t="str">
        <f>IF($D3="","",VLOOKUP($D3,CTBat!$G$10:$BR$208,S$1,FALSE))</f>
        <v>-</v>
      </c>
      <c r="T3" s="33" t="str">
        <f>IF($D3="","",VLOOKUP($D3,CTBat!$G$10:$BR$208,T$1,FALSE))</f>
        <v>-</v>
      </c>
      <c r="U3" s="35" t="str">
        <f>IF($D3="","",VLOOKUP($D3,CTBat!$G$10:$BR$208,U$1,FALSE))</f>
        <v>-</v>
      </c>
      <c r="V3" s="53">
        <f t="shared" ref="V3:V11" si="1">IF($D3="","",IF(OR(AE3+AH3&gt;14,AND(OR(AE3+AH3&gt;12,AND(AE3&gt;6,AH3&gt;6)),AJ3&gt;6,OR(AK3&gt;=AJ3,AK3&gt;6))),1,0))</f>
        <v>1</v>
      </c>
      <c r="W3" s="249">
        <f t="shared" ref="W3:W11" si="2">IF($D3="","",IF(OR(AND(AE3&gt;6,AI3&gt;6),AE3+AH3&gt;12),1,0))</f>
        <v>1</v>
      </c>
      <c r="X3" s="34">
        <f>IF($D3="","",IF(AND(AE3&gt;6,AG3&gt;6,AH3&gt;6),1,0))</f>
        <v>0</v>
      </c>
      <c r="Y3" s="34">
        <f>IF($D3="","",IF(AND(AG3&gt;7,OR(AE3&gt;6,AH3&gt;6)),1,0))</f>
        <v>0</v>
      </c>
      <c r="Z3" s="34">
        <f>IF($D3="","",IF(AND(AG3&gt;6,OR(AE3&gt;6,AH3&gt;6)),1,0))</f>
        <v>0</v>
      </c>
      <c r="AA3" s="34">
        <f>IF($D3="","",IF(AND(OR(AE3&gt;6,AG3&gt;6),OR(AE3&gt;6,AH3&gt;6)),1,0))</f>
        <v>1</v>
      </c>
      <c r="AB3" s="34">
        <f>IF($D3="","",IF(AND(AE3&gt;4,OR(AE3&gt;6,AG3&gt;6,AH3&gt;6)),1,0))</f>
        <v>1</v>
      </c>
      <c r="AC3" s="34">
        <f>IF($D3="","",IF(AND(AE3&gt;4,OR(AE3&gt;6,AF3&gt;6,AG3&gt;6,AH3&gt;6)),1,0))</f>
        <v>1</v>
      </c>
      <c r="AD3" s="61">
        <f>IF($D3="","",IF(AND(AE3&gt;4,MAX(AE3:AI3)&gt;6),1,0))</f>
        <v>1</v>
      </c>
      <c r="AE3" s="33">
        <f>IF($D3="","",VLOOKUP($D3,CTBat!$G$10:$BR$208,AE$1,FALSE))</f>
        <v>7</v>
      </c>
      <c r="AF3" s="33">
        <f>IF($D3="","",VLOOKUP($D3,CTBat!$G$10:$BR$208,AF$1,FALSE))</f>
        <v>6</v>
      </c>
      <c r="AG3" s="33">
        <f>IF($D3="","",VLOOKUP($D3,CTBat!$G$10:$BR$208,AG$1,FALSE))</f>
        <v>5</v>
      </c>
      <c r="AH3" s="33">
        <f>IF($D3="","",VLOOKUP($D3,CTBat!$G$10:$BR$208,AH$1,FALSE))</f>
        <v>8</v>
      </c>
      <c r="AI3" s="33">
        <f>IF($D3="","",VLOOKUP($D3,CTBat!$G$10:$BR$208,AI$1,FALSE))</f>
        <v>8</v>
      </c>
      <c r="AJ3" s="57">
        <f>IF($D3="","",VLOOKUP($D3,CTBat!$G$10:$BR$208,AJ$1,FALSE))</f>
        <v>5</v>
      </c>
      <c r="AK3" s="35">
        <f>IF($D3="","",VLOOKUP($D3,CTBat!$G$10:$BR$208,AK$1,FALSE))</f>
        <v>5</v>
      </c>
      <c r="AL3" s="67">
        <f>IF($D3="","",(5*AE3+4*AG3+3*AH3+2*AF3+1*AI3+0.5*(AVERAGE(AE3:AF3))+0.5*AVERAGE(AE3,AI3)+1*(AVERAGE(AE3,AG3))+1*AVERAGE(AE3,AH3))/(5+4+3+2+1+0.5+0.5+1+1))</f>
        <v>6.6388888888888893</v>
      </c>
      <c r="AM3" s="52">
        <f>IF($D3="","",IF(AND(OR(AV3+AY3&gt;12,AND(AV3&gt;6,AY3&gt;6)),AJ3&gt;6,OR(AK3&gt;=AJ3,AK3&gt;6)),1,0))</f>
        <v>0</v>
      </c>
      <c r="AN3" s="34">
        <f>IF($D3="","",IF(OR(AND(AV3&gt;6,AZ3&gt;6),AV3+AY3&gt;12),1,0))</f>
        <v>1</v>
      </c>
      <c r="AO3" s="34">
        <f>IF($D3="","",IF(AND(AV3&gt;6,AX3&gt;6,AY3&gt;6),1,0))</f>
        <v>1</v>
      </c>
      <c r="AP3" s="34">
        <f>IF($D3="","",IF(AND(AX3&gt;7,OR(AV3&gt;6,AY3&gt;6)),1,0))</f>
        <v>1</v>
      </c>
      <c r="AQ3" s="34">
        <f>IF($D3="","",IF(AND(AX3&gt;6,OR(AV3&gt;6,AY3&gt;6)),1,0))</f>
        <v>1</v>
      </c>
      <c r="AR3" s="34">
        <f>IF($D3="","",IF(AND(OR(AV3&gt;6,AX3&gt;6),OR(AV3&gt;6,AY3&gt;6)),1,0))</f>
        <v>1</v>
      </c>
      <c r="AS3" s="34">
        <f>IF($D3="","",IF(AND(AV3&gt;4,OR(AV3&gt;6,AX3&gt;6,AY3&gt;6)),1,0))</f>
        <v>1</v>
      </c>
      <c r="AT3" s="34">
        <f>IF($D3="","",IF(AND(AV3&gt;4,OR(AV3&gt;6,AW3&gt;6,AX3&gt;6,AY3&gt;6)),1,0))</f>
        <v>1</v>
      </c>
      <c r="AU3" s="61">
        <f>IF($D3="","",IF(AND(AV3&gt;4,MAX(AV3:AZ3)&gt;6),1,0))</f>
        <v>1</v>
      </c>
      <c r="AV3" s="57">
        <f>IF($D3="","",VLOOKUP($D3,CTBat!$G$10:$BR$208,AV$1,FALSE))</f>
        <v>8</v>
      </c>
      <c r="AW3" s="33">
        <f>IF($D3="","",VLOOKUP($D3,CTBat!$G$10:$BR$208,AW$1,FALSE))</f>
        <v>6</v>
      </c>
      <c r="AX3" s="33">
        <f>IF($D3="","",VLOOKUP($D3,CTBat!$G$10:$BR$208,AX$1,FALSE))</f>
        <v>8</v>
      </c>
      <c r="AY3" s="33">
        <f>IF($D3="","",VLOOKUP($D3,CTBat!$G$10:$BR$208,AY$1,FALSE))</f>
        <v>9</v>
      </c>
      <c r="AZ3" s="35">
        <f>IF($D3="","",VLOOKUP($D3,CTBat!$G$10:$BR$208,AZ$1,FALSE))</f>
        <v>9</v>
      </c>
      <c r="BA3" s="67">
        <f>IF($D3="","",(5*AV3+4*AX3+3*AY3+2*AW3+1*AZ3+0.5*(AVERAGE(AV3:AW3))+0.5*AVERAGE(AV3,AZ3)+1*(AVERAGE(AV3,AX3))+1*AVERAGE(AV3,AY3))/(5+4+3+2+1+0.5+0.5+1+1))</f>
        <v>8.0138888888888893</v>
      </c>
    </row>
    <row r="4" spans="1:53">
      <c r="A4">
        <v>2</v>
      </c>
      <c r="B4" s="266" t="s">
        <v>244</v>
      </c>
      <c r="C4" s="36" t="s">
        <v>101</v>
      </c>
      <c r="D4" s="37" t="s">
        <v>425</v>
      </c>
      <c r="E4" s="37">
        <f>IF($D4="","",VLOOKUP($D4,CTBat!$G$10:$BR$208,E$1,FALSE))</f>
        <v>27</v>
      </c>
      <c r="F4" s="37" t="str">
        <f>IF($D4="","",VLOOKUP($D4,CTBat!$G$10:$BR$208,F$1,FALSE))</f>
        <v>L</v>
      </c>
      <c r="G4" s="53">
        <f t="shared" ref="G4:G11" si="3">IF($D4="","",IF(AND(O4&gt;0,O4=SUM(N4:U4)),1,0))</f>
        <v>0</v>
      </c>
      <c r="H4" s="249">
        <f t="shared" ref="H4:H11" si="4">IF($D4="","",IF(AND(OR(O4&gt;0,S4&gt;0),SUM(O4,S4)=SUM(N4:U4)),1,0))</f>
        <v>0</v>
      </c>
      <c r="I4" s="249">
        <f t="shared" ref="I4:I11" si="5">IF($D4="","",IF(M4&gt;6,1,0))</f>
        <v>0</v>
      </c>
      <c r="J4" s="249">
        <f t="shared" si="0"/>
        <v>1</v>
      </c>
      <c r="K4" s="58">
        <f>IF($D4="","",VLOOKUP($D4,CTBat!$G$10:$BR$208,K$1,FALSE))</f>
        <v>1</v>
      </c>
      <c r="L4" s="37">
        <f>IF($D4="","",VLOOKUP($D4,CTBat!$G$10:$BR$208,L$1,FALSE))</f>
        <v>1</v>
      </c>
      <c r="M4" s="38">
        <f>IF($D4="","",VLOOKUP($D4,CTBat!$G$10:$BR$208,M$1,FALSE))</f>
        <v>4</v>
      </c>
      <c r="N4" s="37" t="str">
        <f>IF($D4="","",VLOOKUP($D4,CTBat!$G$10:$BR$208,N$1,FALSE))</f>
        <v>-</v>
      </c>
      <c r="O4" s="37" t="str">
        <f>IF($D4="","",VLOOKUP($D4,CTBat!$G$10:$BR$208,O$1,FALSE))</f>
        <v>-</v>
      </c>
      <c r="P4" s="37" t="str">
        <f>IF($D4="","",VLOOKUP($D4,CTBat!$G$10:$BR$208,P$1,FALSE))</f>
        <v>-</v>
      </c>
      <c r="Q4" s="37" t="str">
        <f>IF($D4="","",VLOOKUP($D4,CTBat!$G$10:$BR$208,Q$1,FALSE))</f>
        <v>-</v>
      </c>
      <c r="R4" s="37" t="str">
        <f>IF($D4="","",VLOOKUP($D4,CTBat!$G$10:$BR$208,R$1,FALSE))</f>
        <v>-</v>
      </c>
      <c r="S4" s="37">
        <f>IF($D4="","",VLOOKUP($D4,CTBat!$G$10:$BR$208,S$1,FALSE))</f>
        <v>10</v>
      </c>
      <c r="T4" s="37">
        <f>IF($D4="","",VLOOKUP($D4,CTBat!$G$10:$BR$208,T$1,FALSE))</f>
        <v>7</v>
      </c>
      <c r="U4" s="38">
        <f>IF($D4="","",VLOOKUP($D4,CTBat!$G$10:$BR$208,U$1,FALSE))</f>
        <v>8</v>
      </c>
      <c r="V4" s="53">
        <f t="shared" si="1"/>
        <v>1</v>
      </c>
      <c r="W4" s="249">
        <f t="shared" si="2"/>
        <v>1</v>
      </c>
      <c r="X4" s="249">
        <f t="shared" ref="X4:X11" si="6">IF($D4="","",IF(AND(AE4&gt;6,AG4&gt;6,AH4&gt;6),1,0))</f>
        <v>0</v>
      </c>
      <c r="Y4" s="249">
        <f t="shared" ref="Y4:Y11" si="7">IF($D4="","",IF(AND(AG4&gt;7,OR(AE4&gt;6,AH4&gt;6)),1,0))</f>
        <v>0</v>
      </c>
      <c r="Z4" s="249">
        <f t="shared" ref="Z4:Z11" si="8">IF($D4="","",IF(AND(AG4&gt;6,OR(AE4&gt;6,AH4&gt;6)),1,0))</f>
        <v>1</v>
      </c>
      <c r="AA4" s="249">
        <f t="shared" ref="AA4:AA11" si="9">IF($D4="","",IF(AND(OR(AE4&gt;6,AG4&gt;6),OR(AE4&gt;6,AH4&gt;6)),1,0))</f>
        <v>1</v>
      </c>
      <c r="AB4" s="249">
        <f t="shared" ref="AB4:AB11" si="10">IF($D4="","",IF(AND(AE4&gt;4,OR(AE4&gt;6,AG4&gt;6,AH4&gt;6)),1,0))</f>
        <v>1</v>
      </c>
      <c r="AC4" s="249">
        <f t="shared" ref="AC4:AC11" si="11">IF($D4="","",IF(AND(AE4&gt;4,OR(AE4&gt;6,AF4&gt;6,AG4&gt;6,AH4&gt;6)),1,0))</f>
        <v>1</v>
      </c>
      <c r="AD4" s="250">
        <f t="shared" ref="AD4:AD11" si="12">IF($D4="","",IF(AND(AE4&gt;4,MAX(AE4:AI4)&gt;6),1,0))</f>
        <v>1</v>
      </c>
      <c r="AE4" s="37">
        <f>IF($D4="","",VLOOKUP($D4,CTBat!$G$10:$BR$208,AE$1,FALSE))</f>
        <v>8</v>
      </c>
      <c r="AF4" s="37">
        <f>IF($D4="","",VLOOKUP($D4,CTBat!$G$10:$BR$208,AF$1,FALSE))</f>
        <v>7</v>
      </c>
      <c r="AG4" s="37">
        <f>IF($D4="","",VLOOKUP($D4,CTBat!$G$10:$BR$208,AG$1,FALSE))</f>
        <v>7</v>
      </c>
      <c r="AH4" s="37">
        <f>IF($D4="","",VLOOKUP($D4,CTBat!$G$10:$BR$208,AH$1,FALSE))</f>
        <v>6</v>
      </c>
      <c r="AI4" s="37">
        <f>IF($D4="","",VLOOKUP($D4,CTBat!$G$10:$BR$208,AI$1,FALSE))</f>
        <v>8</v>
      </c>
      <c r="AJ4" s="58">
        <f>IF($D4="","",VLOOKUP($D4,CTBat!$G$10:$BR$208,AJ$1,FALSE))</f>
        <v>7</v>
      </c>
      <c r="AK4" s="38">
        <f>IF($D4="","",VLOOKUP($D4,CTBat!$G$10:$BR$208,AK$1,FALSE))</f>
        <v>10</v>
      </c>
      <c r="AL4" s="67">
        <f t="shared" ref="AL4:AL11" si="13">IF($D4="","",(5*AE4+4*AG4+3*AH4+2*AF4+1*AI4+0.5*(AVERAGE(AE4:AF4))+0.5*AVERAGE(AE4,AI4)+1*(AVERAGE(AE4,AG4))+1*AVERAGE(AE4,AH4))/(5+4+3+2+1+0.5+0.5+1+1))</f>
        <v>7.2361111111111107</v>
      </c>
      <c r="AM4" s="53">
        <f t="shared" ref="AM4:AM11" si="14">IF($D4="","",IF(AND(OR(AV4+AY4&gt;12,AND(AV4&gt;6,AY4&gt;6)),AJ4&gt;6,OR(AK4&gt;=AJ4,AK4&gt;6)),1,0))</f>
        <v>1</v>
      </c>
      <c r="AN4" s="249">
        <f t="shared" ref="AN4:AN11" si="15">IF($D4="","",IF(OR(AND(AV4&gt;6,AZ4&gt;6),AV4+AY4&gt;12),1,0))</f>
        <v>1</v>
      </c>
      <c r="AO4" s="249">
        <f t="shared" ref="AO4:AO11" si="16">IF($D4="","",IF(AND(AV4&gt;6,AX4&gt;6,AY4&gt;6),1,0))</f>
        <v>0</v>
      </c>
      <c r="AP4" s="249">
        <f t="shared" ref="AP4:AP11" si="17">IF($D4="","",IF(AND(AX4&gt;7,OR(AV4&gt;6,AY4&gt;6)),1,0))</f>
        <v>0</v>
      </c>
      <c r="AQ4" s="249">
        <f t="shared" ref="AQ4:AQ11" si="18">IF($D4="","",IF(AND(AX4&gt;6,OR(AV4&gt;6,AY4&gt;6)),1,0))</f>
        <v>1</v>
      </c>
      <c r="AR4" s="249">
        <f t="shared" ref="AR4:AR11" si="19">IF($D4="","",IF(AND(OR(AV4&gt;6,AX4&gt;6),OR(AV4&gt;6,AY4&gt;6)),1,0))</f>
        <v>1</v>
      </c>
      <c r="AS4" s="249">
        <f t="shared" ref="AS4:AS11" si="20">IF($D4="","",IF(AND(AV4&gt;4,OR(AV4&gt;6,AX4&gt;6,AY4&gt;6)),1,0))</f>
        <v>1</v>
      </c>
      <c r="AT4" s="249">
        <f t="shared" ref="AT4:AT11" si="21">IF($D4="","",IF(AND(AV4&gt;4,OR(AV4&gt;6,AW4&gt;6,AX4&gt;6,AY4&gt;6)),1,0))</f>
        <v>1</v>
      </c>
      <c r="AU4" s="250">
        <f t="shared" ref="AU4:AU11" si="22">IF($D4="","",IF(AND(AV4&gt;4,MAX(AV4:AZ4)&gt;6),1,0))</f>
        <v>1</v>
      </c>
      <c r="AV4" s="58">
        <f>IF($D4="","",VLOOKUP($D4,CTBat!$G$10:$BR$208,AV$1,FALSE))</f>
        <v>8</v>
      </c>
      <c r="AW4" s="37">
        <f>IF($D4="","",VLOOKUP($D4,CTBat!$G$10:$BR$208,AW$1,FALSE))</f>
        <v>7</v>
      </c>
      <c r="AX4" s="37">
        <f>IF($D4="","",VLOOKUP($D4,CTBat!$G$10:$BR$208,AX$1,FALSE))</f>
        <v>7</v>
      </c>
      <c r="AY4" s="37">
        <f>IF($D4="","",VLOOKUP($D4,CTBat!$G$10:$BR$208,AY$1,FALSE))</f>
        <v>6</v>
      </c>
      <c r="AZ4" s="38">
        <f>IF($D4="","",VLOOKUP($D4,CTBat!$G$10:$BR$208,AZ$1,FALSE))</f>
        <v>8</v>
      </c>
      <c r="BA4" s="67">
        <f t="shared" ref="BA4:BA11" si="23">IF($D4="","",(5*AV4+4*AX4+3*AY4+2*AW4+1*AZ4+0.5*(AVERAGE(AV4:AW4))+0.5*AVERAGE(AV4,AZ4)+1*(AVERAGE(AV4,AX4))+1*AVERAGE(AV4,AY4))/(5+4+3+2+1+0.5+0.5+1+1))</f>
        <v>7.2361111111111107</v>
      </c>
    </row>
    <row r="5" spans="1:53">
      <c r="A5">
        <v>3</v>
      </c>
      <c r="B5" s="263"/>
      <c r="C5" s="36" t="s">
        <v>102</v>
      </c>
      <c r="D5" s="37"/>
      <c r="E5" s="37" t="str">
        <f>IF($D5="","",VLOOKUP($D5,CTBat!$G$10:$BR$208,E$1,FALSE))</f>
        <v/>
      </c>
      <c r="F5" s="37" t="str">
        <f>IF($D5="","",VLOOKUP($D5,CTBat!$G$10:$BR$208,F$1,FALSE))</f>
        <v/>
      </c>
      <c r="G5" s="53" t="str">
        <f t="shared" si="3"/>
        <v/>
      </c>
      <c r="H5" s="249" t="str">
        <f t="shared" si="4"/>
        <v/>
      </c>
      <c r="I5" s="249" t="str">
        <f t="shared" si="5"/>
        <v/>
      </c>
      <c r="J5" s="249" t="str">
        <f t="shared" si="0"/>
        <v/>
      </c>
      <c r="K5" s="58" t="str">
        <f>IF($D5="","",VLOOKUP($D5,CTBat!$G$10:$BR$208,K$1,FALSE))</f>
        <v/>
      </c>
      <c r="L5" s="37" t="str">
        <f>IF($D5="","",VLOOKUP($D5,CTBat!$G$10:$BR$208,L$1,FALSE))</f>
        <v/>
      </c>
      <c r="M5" s="38" t="str">
        <f>IF($D5="","",VLOOKUP($D5,CTBat!$G$10:$BR$208,M$1,FALSE))</f>
        <v/>
      </c>
      <c r="N5" s="37" t="str">
        <f>IF($D5="","",VLOOKUP($D5,CTBat!$G$10:$BR$208,N$1,FALSE))</f>
        <v/>
      </c>
      <c r="O5" s="37" t="str">
        <f>IF($D5="","",VLOOKUP($D5,CTBat!$G$10:$BR$208,O$1,FALSE))</f>
        <v/>
      </c>
      <c r="P5" s="37" t="str">
        <f>IF($D5="","",VLOOKUP($D5,CTBat!$G$10:$BR$208,P$1,FALSE))</f>
        <v/>
      </c>
      <c r="Q5" s="37" t="str">
        <f>IF($D5="","",VLOOKUP($D5,CTBat!$G$10:$BR$208,Q$1,FALSE))</f>
        <v/>
      </c>
      <c r="R5" s="37" t="str">
        <f>IF($D5="","",VLOOKUP($D5,CTBat!$G$10:$BR$208,R$1,FALSE))</f>
        <v/>
      </c>
      <c r="S5" s="37" t="str">
        <f>IF($D5="","",VLOOKUP($D5,CTBat!$G$10:$BR$208,S$1,FALSE))</f>
        <v/>
      </c>
      <c r="T5" s="37" t="str">
        <f>IF($D5="","",VLOOKUP($D5,CTBat!$G$10:$BR$208,T$1,FALSE))</f>
        <v/>
      </c>
      <c r="U5" s="38" t="str">
        <f>IF($D5="","",VLOOKUP($D5,CTBat!$G$10:$BR$208,U$1,FALSE))</f>
        <v/>
      </c>
      <c r="V5" s="53" t="str">
        <f t="shared" si="1"/>
        <v/>
      </c>
      <c r="W5" s="249" t="str">
        <f t="shared" si="2"/>
        <v/>
      </c>
      <c r="X5" s="249" t="str">
        <f t="shared" si="6"/>
        <v/>
      </c>
      <c r="Y5" s="249" t="str">
        <f t="shared" si="7"/>
        <v/>
      </c>
      <c r="Z5" s="249" t="str">
        <f t="shared" si="8"/>
        <v/>
      </c>
      <c r="AA5" s="249" t="str">
        <f t="shared" si="9"/>
        <v/>
      </c>
      <c r="AB5" s="249" t="str">
        <f t="shared" si="10"/>
        <v/>
      </c>
      <c r="AC5" s="249" t="str">
        <f t="shared" si="11"/>
        <v/>
      </c>
      <c r="AD5" s="250" t="str">
        <f t="shared" si="12"/>
        <v/>
      </c>
      <c r="AE5" s="37" t="str">
        <f>IF($D5="","",VLOOKUP($D5,CTBat!$G$10:$BR$208,AE$1,FALSE))</f>
        <v/>
      </c>
      <c r="AF5" s="37" t="str">
        <f>IF($D5="","",VLOOKUP($D5,CTBat!$G$10:$BR$208,AF$1,FALSE))</f>
        <v/>
      </c>
      <c r="AG5" s="37" t="str">
        <f>IF($D5="","",VLOOKUP($D5,CTBat!$G$10:$BR$208,AG$1,FALSE))</f>
        <v/>
      </c>
      <c r="AH5" s="37" t="str">
        <f>IF($D5="","",VLOOKUP($D5,CTBat!$G$10:$BR$208,AH$1,FALSE))</f>
        <v/>
      </c>
      <c r="AI5" s="37" t="str">
        <f>IF($D5="","",VLOOKUP($D5,CTBat!$G$10:$BR$208,AI$1,FALSE))</f>
        <v/>
      </c>
      <c r="AJ5" s="58" t="str">
        <f>IF($D5="","",VLOOKUP($D5,CTBat!$G$10:$BR$208,AJ$1,FALSE))</f>
        <v/>
      </c>
      <c r="AK5" s="38" t="str">
        <f>IF($D5="","",VLOOKUP($D5,CTBat!$G$10:$BR$208,AK$1,FALSE))</f>
        <v/>
      </c>
      <c r="AL5" s="67" t="str">
        <f t="shared" si="13"/>
        <v/>
      </c>
      <c r="AM5" s="53" t="str">
        <f t="shared" si="14"/>
        <v/>
      </c>
      <c r="AN5" s="249" t="str">
        <f t="shared" si="15"/>
        <v/>
      </c>
      <c r="AO5" s="249" t="str">
        <f t="shared" si="16"/>
        <v/>
      </c>
      <c r="AP5" s="249" t="str">
        <f t="shared" si="17"/>
        <v/>
      </c>
      <c r="AQ5" s="249" t="str">
        <f t="shared" si="18"/>
        <v/>
      </c>
      <c r="AR5" s="249" t="str">
        <f t="shared" si="19"/>
        <v/>
      </c>
      <c r="AS5" s="249" t="str">
        <f t="shared" si="20"/>
        <v/>
      </c>
      <c r="AT5" s="249" t="str">
        <f t="shared" si="21"/>
        <v/>
      </c>
      <c r="AU5" s="250" t="str">
        <f t="shared" si="22"/>
        <v/>
      </c>
      <c r="AV5" s="58" t="str">
        <f>IF($D5="","",VLOOKUP($D5,CTBat!$G$10:$BR$208,AV$1,FALSE))</f>
        <v/>
      </c>
      <c r="AW5" s="37" t="str">
        <f>IF($D5="","",VLOOKUP($D5,CTBat!$G$10:$BR$208,AW$1,FALSE))</f>
        <v/>
      </c>
      <c r="AX5" s="37" t="str">
        <f>IF($D5="","",VLOOKUP($D5,CTBat!$G$10:$BR$208,AX$1,FALSE))</f>
        <v/>
      </c>
      <c r="AY5" s="37" t="str">
        <f>IF($D5="","",VLOOKUP($D5,CTBat!$G$10:$BR$208,AY$1,FALSE))</f>
        <v/>
      </c>
      <c r="AZ5" s="38" t="str">
        <f>IF($D5="","",VLOOKUP($D5,CTBat!$G$10:$BR$208,AZ$1,FALSE))</f>
        <v/>
      </c>
      <c r="BA5" s="67" t="str">
        <f t="shared" si="23"/>
        <v/>
      </c>
    </row>
    <row r="6" spans="1:53">
      <c r="A6">
        <v>4</v>
      </c>
      <c r="B6" s="266" t="s">
        <v>244</v>
      </c>
      <c r="C6" s="36" t="s">
        <v>103</v>
      </c>
      <c r="D6" s="65" t="s">
        <v>395</v>
      </c>
      <c r="E6" s="37">
        <f>IF($D6="","",VLOOKUP($D6,CTBat!$G$10:$BR$208,E$1,FALSE))</f>
        <v>24</v>
      </c>
      <c r="F6" s="37" t="str">
        <f>IF($D6="","",VLOOKUP($D6,CTBat!$G$10:$BR$208,F$1,FALSE))</f>
        <v>L</v>
      </c>
      <c r="G6" s="53">
        <f t="shared" si="3"/>
        <v>0</v>
      </c>
      <c r="H6" s="249">
        <f t="shared" si="4"/>
        <v>0</v>
      </c>
      <c r="I6" s="249">
        <f t="shared" si="5"/>
        <v>1</v>
      </c>
      <c r="J6" s="249">
        <f t="shared" si="0"/>
        <v>1</v>
      </c>
      <c r="K6" s="58">
        <f>IF($D6="","",VLOOKUP($D6,CTBat!$G$10:$BR$208,K$1,FALSE))</f>
        <v>1</v>
      </c>
      <c r="L6" s="37">
        <f>IF($D6="","",VLOOKUP($D6,CTBat!$G$10:$BR$208,L$1,FALSE))</f>
        <v>1</v>
      </c>
      <c r="M6" s="38">
        <f>IF($D6="","",VLOOKUP($D6,CTBat!$G$10:$BR$208,M$1,FALSE))</f>
        <v>10</v>
      </c>
      <c r="N6" s="37" t="str">
        <f>IF($D6="","",VLOOKUP($D6,CTBat!$G$10:$BR$208,N$1,FALSE))</f>
        <v>-</v>
      </c>
      <c r="O6" s="37" t="str">
        <f>IF($D6="","",VLOOKUP($D6,CTBat!$G$10:$BR$208,O$1,FALSE))</f>
        <v>-</v>
      </c>
      <c r="P6" s="37" t="str">
        <f>IF($D6="","",VLOOKUP($D6,CTBat!$G$10:$BR$208,P$1,FALSE))</f>
        <v>-</v>
      </c>
      <c r="Q6" s="37" t="str">
        <f>IF($D6="","",VLOOKUP($D6,CTBat!$G$10:$BR$208,Q$1,FALSE))</f>
        <v>-</v>
      </c>
      <c r="R6" s="37" t="str">
        <f>IF($D6="","",VLOOKUP($D6,CTBat!$G$10:$BR$208,R$1,FALSE))</f>
        <v>-</v>
      </c>
      <c r="S6" s="37">
        <f>IF($D6="","",VLOOKUP($D6,CTBat!$G$10:$BR$208,S$1,FALSE))</f>
        <v>7</v>
      </c>
      <c r="T6" s="37">
        <f>IF($D6="","",VLOOKUP($D6,CTBat!$G$10:$BR$208,T$1,FALSE))</f>
        <v>9</v>
      </c>
      <c r="U6" s="38">
        <f>IF($D6="","",VLOOKUP($D6,CTBat!$G$10:$BR$208,U$1,FALSE))</f>
        <v>10</v>
      </c>
      <c r="V6" s="53">
        <f t="shared" si="1"/>
        <v>1</v>
      </c>
      <c r="W6" s="249">
        <f t="shared" si="2"/>
        <v>1</v>
      </c>
      <c r="X6" s="249">
        <f t="shared" si="6"/>
        <v>0</v>
      </c>
      <c r="Y6" s="249">
        <f t="shared" si="7"/>
        <v>0</v>
      </c>
      <c r="Z6" s="249">
        <f t="shared" si="8"/>
        <v>0</v>
      </c>
      <c r="AA6" s="249">
        <f t="shared" si="9"/>
        <v>1</v>
      </c>
      <c r="AB6" s="249">
        <f t="shared" si="10"/>
        <v>1</v>
      </c>
      <c r="AC6" s="249">
        <f t="shared" si="11"/>
        <v>1</v>
      </c>
      <c r="AD6" s="250">
        <f t="shared" si="12"/>
        <v>1</v>
      </c>
      <c r="AE6" s="37">
        <f>IF($D6="","",VLOOKUP($D6,CTBat!$G$10:$BR$208,AE$1,FALSE))</f>
        <v>10</v>
      </c>
      <c r="AF6" s="37">
        <f>IF($D6="","",VLOOKUP($D6,CTBat!$G$10:$BR$208,AF$1,FALSE))</f>
        <v>7</v>
      </c>
      <c r="AG6" s="37">
        <f>IF($D6="","",VLOOKUP($D6,CTBat!$G$10:$BR$208,AG$1,FALSE))</f>
        <v>4</v>
      </c>
      <c r="AH6" s="37">
        <f>IF($D6="","",VLOOKUP($D6,CTBat!$G$10:$BR$208,AH$1,FALSE))</f>
        <v>6</v>
      </c>
      <c r="AI6" s="37">
        <f>IF($D6="","",VLOOKUP($D6,CTBat!$G$10:$BR$208,AI$1,FALSE))</f>
        <v>8</v>
      </c>
      <c r="AJ6" s="58">
        <f>IF($D6="","",VLOOKUP($D6,CTBat!$G$10:$BR$208,AJ$1,FALSE))</f>
        <v>7</v>
      </c>
      <c r="AK6" s="38">
        <f>IF($D6="","",VLOOKUP($D6,CTBat!$G$10:$BR$208,AK$1,FALSE))</f>
        <v>9</v>
      </c>
      <c r="AL6" s="67">
        <f t="shared" si="13"/>
        <v>7.208333333333333</v>
      </c>
      <c r="AM6" s="53">
        <f t="shared" si="14"/>
        <v>1</v>
      </c>
      <c r="AN6" s="249">
        <f t="shared" si="15"/>
        <v>1</v>
      </c>
      <c r="AO6" s="249">
        <f t="shared" si="16"/>
        <v>0</v>
      </c>
      <c r="AP6" s="249">
        <f t="shared" si="17"/>
        <v>0</v>
      </c>
      <c r="AQ6" s="249">
        <f t="shared" si="18"/>
        <v>0</v>
      </c>
      <c r="AR6" s="249">
        <f t="shared" si="19"/>
        <v>1</v>
      </c>
      <c r="AS6" s="249">
        <f t="shared" si="20"/>
        <v>1</v>
      </c>
      <c r="AT6" s="249">
        <f t="shared" si="21"/>
        <v>1</v>
      </c>
      <c r="AU6" s="250">
        <f t="shared" si="22"/>
        <v>1</v>
      </c>
      <c r="AV6" s="58">
        <f>IF($D6="","",VLOOKUP($D6,CTBat!$G$10:$BR$208,AV$1,FALSE))</f>
        <v>10</v>
      </c>
      <c r="AW6" s="37">
        <f>IF($D6="","",VLOOKUP($D6,CTBat!$G$10:$BR$208,AW$1,FALSE))</f>
        <v>7</v>
      </c>
      <c r="AX6" s="37">
        <f>IF($D6="","",VLOOKUP($D6,CTBat!$G$10:$BR$208,AX$1,FALSE))</f>
        <v>5</v>
      </c>
      <c r="AY6" s="37">
        <f>IF($D6="","",VLOOKUP($D6,CTBat!$G$10:$BR$208,AY$1,FALSE))</f>
        <v>6</v>
      </c>
      <c r="AZ6" s="38">
        <f>IF($D6="","",VLOOKUP($D6,CTBat!$G$10:$BR$208,AZ$1,FALSE))</f>
        <v>8</v>
      </c>
      <c r="BA6" s="67">
        <f t="shared" si="23"/>
        <v>7.458333333333333</v>
      </c>
    </row>
    <row r="7" spans="1:53">
      <c r="A7">
        <v>5</v>
      </c>
      <c r="B7" s="263"/>
      <c r="C7" s="36" t="s">
        <v>18</v>
      </c>
      <c r="D7" s="65"/>
      <c r="E7" s="37" t="str">
        <f>IF($D7="","",VLOOKUP($D7,CTBat!$G$10:$BR$208,E$1,FALSE))</f>
        <v/>
      </c>
      <c r="F7" s="37" t="str">
        <f>IF($D7="","",VLOOKUP($D7,CTBat!$G$10:$BR$208,F$1,FALSE))</f>
        <v/>
      </c>
      <c r="G7" s="53" t="str">
        <f t="shared" si="3"/>
        <v/>
      </c>
      <c r="H7" s="249" t="str">
        <f t="shared" si="4"/>
        <v/>
      </c>
      <c r="I7" s="249" t="str">
        <f t="shared" si="5"/>
        <v/>
      </c>
      <c r="J7" s="249" t="str">
        <f t="shared" si="0"/>
        <v/>
      </c>
      <c r="K7" s="58" t="str">
        <f>IF($D7="","",VLOOKUP($D7,CTBat!$G$10:$BR$208,K$1,FALSE))</f>
        <v/>
      </c>
      <c r="L7" s="37" t="str">
        <f>IF($D7="","",VLOOKUP($D7,CTBat!$G$10:$BR$208,L$1,FALSE))</f>
        <v/>
      </c>
      <c r="M7" s="38" t="str">
        <f>IF($D7="","",VLOOKUP($D7,CTBat!$G$10:$BR$208,M$1,FALSE))</f>
        <v/>
      </c>
      <c r="N7" s="37" t="str">
        <f>IF($D7="","",VLOOKUP($D7,CTBat!$G$10:$BR$208,N$1,FALSE))</f>
        <v/>
      </c>
      <c r="O7" s="37" t="str">
        <f>IF($D7="","",VLOOKUP($D7,CTBat!$G$10:$BR$208,O$1,FALSE))</f>
        <v/>
      </c>
      <c r="P7" s="37" t="str">
        <f>IF($D7="","",VLOOKUP($D7,CTBat!$G$10:$BR$208,P$1,FALSE))</f>
        <v/>
      </c>
      <c r="Q7" s="37" t="str">
        <f>IF($D7="","",VLOOKUP($D7,CTBat!$G$10:$BR$208,Q$1,FALSE))</f>
        <v/>
      </c>
      <c r="R7" s="37" t="str">
        <f>IF($D7="","",VLOOKUP($D7,CTBat!$G$10:$BR$208,R$1,FALSE))</f>
        <v/>
      </c>
      <c r="S7" s="37" t="str">
        <f>IF($D7="","",VLOOKUP($D7,CTBat!$G$10:$BR$208,S$1,FALSE))</f>
        <v/>
      </c>
      <c r="T7" s="37" t="str">
        <f>IF($D7="","",VLOOKUP($D7,CTBat!$G$10:$BR$208,T$1,FALSE))</f>
        <v/>
      </c>
      <c r="U7" s="38" t="str">
        <f>IF($D7="","",VLOOKUP($D7,CTBat!$G$10:$BR$208,U$1,FALSE))</f>
        <v/>
      </c>
      <c r="V7" s="53" t="str">
        <f t="shared" si="1"/>
        <v/>
      </c>
      <c r="W7" s="249" t="str">
        <f t="shared" si="2"/>
        <v/>
      </c>
      <c r="X7" s="249" t="str">
        <f t="shared" si="6"/>
        <v/>
      </c>
      <c r="Y7" s="249" t="str">
        <f t="shared" si="7"/>
        <v/>
      </c>
      <c r="Z7" s="249" t="str">
        <f t="shared" si="8"/>
        <v/>
      </c>
      <c r="AA7" s="249" t="str">
        <f t="shared" si="9"/>
        <v/>
      </c>
      <c r="AB7" s="249" t="str">
        <f t="shared" si="10"/>
        <v/>
      </c>
      <c r="AC7" s="249" t="str">
        <f t="shared" si="11"/>
        <v/>
      </c>
      <c r="AD7" s="250" t="str">
        <f t="shared" si="12"/>
        <v/>
      </c>
      <c r="AE7" s="37" t="str">
        <f>IF($D7="","",VLOOKUP($D7,CTBat!$G$10:$BR$208,AE$1,FALSE))</f>
        <v/>
      </c>
      <c r="AF7" s="37" t="str">
        <f>IF($D7="","",VLOOKUP($D7,CTBat!$G$10:$BR$208,AF$1,FALSE))</f>
        <v/>
      </c>
      <c r="AG7" s="37" t="str">
        <f>IF($D7="","",VLOOKUP($D7,CTBat!$G$10:$BR$208,AG$1,FALSE))</f>
        <v/>
      </c>
      <c r="AH7" s="37" t="str">
        <f>IF($D7="","",VLOOKUP($D7,CTBat!$G$10:$BR$208,AH$1,FALSE))</f>
        <v/>
      </c>
      <c r="AI7" s="37" t="str">
        <f>IF($D7="","",VLOOKUP($D7,CTBat!$G$10:$BR$208,AI$1,FALSE))</f>
        <v/>
      </c>
      <c r="AJ7" s="58" t="str">
        <f>IF($D7="","",VLOOKUP($D7,CTBat!$G$10:$BR$208,AJ$1,FALSE))</f>
        <v/>
      </c>
      <c r="AK7" s="38" t="str">
        <f>IF($D7="","",VLOOKUP($D7,CTBat!$G$10:$BR$208,AK$1,FALSE))</f>
        <v/>
      </c>
      <c r="AL7" s="67" t="str">
        <f t="shared" si="13"/>
        <v/>
      </c>
      <c r="AM7" s="53" t="str">
        <f t="shared" si="14"/>
        <v/>
      </c>
      <c r="AN7" s="249" t="str">
        <f t="shared" si="15"/>
        <v/>
      </c>
      <c r="AO7" s="249" t="str">
        <f t="shared" si="16"/>
        <v/>
      </c>
      <c r="AP7" s="249" t="str">
        <f t="shared" si="17"/>
        <v/>
      </c>
      <c r="AQ7" s="249" t="str">
        <f t="shared" si="18"/>
        <v/>
      </c>
      <c r="AR7" s="249" t="str">
        <f t="shared" si="19"/>
        <v/>
      </c>
      <c r="AS7" s="249" t="str">
        <f t="shared" si="20"/>
        <v/>
      </c>
      <c r="AT7" s="249" t="str">
        <f t="shared" si="21"/>
        <v/>
      </c>
      <c r="AU7" s="250" t="str">
        <f t="shared" si="22"/>
        <v/>
      </c>
      <c r="AV7" s="58" t="str">
        <f>IF($D7="","",VLOOKUP($D7,CTBat!$G$10:$BR$208,AV$1,FALSE))</f>
        <v/>
      </c>
      <c r="AW7" s="37" t="str">
        <f>IF($D7="","",VLOOKUP($D7,CTBat!$G$10:$BR$208,AW$1,FALSE))</f>
        <v/>
      </c>
      <c r="AX7" s="37" t="str">
        <f>IF($D7="","",VLOOKUP($D7,CTBat!$G$10:$BR$208,AX$1,FALSE))</f>
        <v/>
      </c>
      <c r="AY7" s="37" t="str">
        <f>IF($D7="","",VLOOKUP($D7,CTBat!$G$10:$BR$208,AY$1,FALSE))</f>
        <v/>
      </c>
      <c r="AZ7" s="38" t="str">
        <f>IF($D7="","",VLOOKUP($D7,CTBat!$G$10:$BR$208,AZ$1,FALSE))</f>
        <v/>
      </c>
      <c r="BA7" s="67" t="str">
        <f t="shared" si="23"/>
        <v/>
      </c>
    </row>
    <row r="8" spans="1:53">
      <c r="A8">
        <v>6</v>
      </c>
      <c r="B8" s="263"/>
      <c r="C8" s="36" t="s">
        <v>104</v>
      </c>
      <c r="D8" s="65"/>
      <c r="E8" s="37" t="str">
        <f>IF($D8="","",VLOOKUP($D8,CTBat!$G$10:$BR$208,E$1,FALSE))</f>
        <v/>
      </c>
      <c r="F8" s="37" t="str">
        <f>IF($D8="","",VLOOKUP($D8,CTBat!$G$10:$BR$208,F$1,FALSE))</f>
        <v/>
      </c>
      <c r="G8" s="53" t="str">
        <f t="shared" si="3"/>
        <v/>
      </c>
      <c r="H8" s="249" t="str">
        <f t="shared" si="4"/>
        <v/>
      </c>
      <c r="I8" s="249" t="str">
        <f t="shared" si="5"/>
        <v/>
      </c>
      <c r="J8" s="249" t="str">
        <f>IF($D8="","",IF(AND(T8&gt;4,T8&lt;&gt;"-"),1,0))</f>
        <v/>
      </c>
      <c r="K8" s="58" t="str">
        <f>IF($D8="","",VLOOKUP($D8,CTBat!$G$10:$BR$208,K$1,FALSE))</f>
        <v/>
      </c>
      <c r="L8" s="37" t="str">
        <f>IF($D8="","",VLOOKUP($D8,CTBat!$G$10:$BR$208,L$1,FALSE))</f>
        <v/>
      </c>
      <c r="M8" s="38" t="str">
        <f>IF($D8="","",VLOOKUP($D8,CTBat!$G$10:$BR$208,M$1,FALSE))</f>
        <v/>
      </c>
      <c r="N8" s="37" t="str">
        <f>IF($D8="","",VLOOKUP($D8,CTBat!$G$10:$BR$208,N$1,FALSE))</f>
        <v/>
      </c>
      <c r="O8" s="37" t="str">
        <f>IF($D8="","",VLOOKUP($D8,CTBat!$G$10:$BR$208,O$1,FALSE))</f>
        <v/>
      </c>
      <c r="P8" s="37" t="str">
        <f>IF($D8="","",VLOOKUP($D8,CTBat!$G$10:$BR$208,P$1,FALSE))</f>
        <v/>
      </c>
      <c r="Q8" s="37" t="str">
        <f>IF($D8="","",VLOOKUP($D8,CTBat!$G$10:$BR$208,Q$1,FALSE))</f>
        <v/>
      </c>
      <c r="R8" s="37" t="str">
        <f>IF($D8="","",VLOOKUP($D8,CTBat!$G$10:$BR$208,R$1,FALSE))</f>
        <v/>
      </c>
      <c r="S8" s="37" t="str">
        <f>IF($D8="","",VLOOKUP($D8,CTBat!$G$10:$BR$208,S$1,FALSE))</f>
        <v/>
      </c>
      <c r="T8" s="37" t="str">
        <f>IF($D8="","",VLOOKUP($D8,CTBat!$G$10:$BR$208,T$1,FALSE))</f>
        <v/>
      </c>
      <c r="U8" s="38" t="str">
        <f>IF($D8="","",VLOOKUP($D8,CTBat!$G$10:$BR$208,U$1,FALSE))</f>
        <v/>
      </c>
      <c r="V8" s="53" t="str">
        <f t="shared" si="1"/>
        <v/>
      </c>
      <c r="W8" s="249" t="str">
        <f t="shared" si="2"/>
        <v/>
      </c>
      <c r="X8" s="249" t="str">
        <f t="shared" si="6"/>
        <v/>
      </c>
      <c r="Y8" s="249" t="str">
        <f t="shared" si="7"/>
        <v/>
      </c>
      <c r="Z8" s="249" t="str">
        <f t="shared" si="8"/>
        <v/>
      </c>
      <c r="AA8" s="249" t="str">
        <f t="shared" si="9"/>
        <v/>
      </c>
      <c r="AB8" s="249" t="str">
        <f t="shared" si="10"/>
        <v/>
      </c>
      <c r="AC8" s="249" t="str">
        <f t="shared" si="11"/>
        <v/>
      </c>
      <c r="AD8" s="250" t="str">
        <f t="shared" si="12"/>
        <v/>
      </c>
      <c r="AE8" s="37" t="str">
        <f>IF($D8="","",VLOOKUP($D8,CTBat!$G$10:$BR$208,AE$1,FALSE))</f>
        <v/>
      </c>
      <c r="AF8" s="37" t="str">
        <f>IF($D8="","",VLOOKUP($D8,CTBat!$G$10:$BR$208,AF$1,FALSE))</f>
        <v/>
      </c>
      <c r="AG8" s="37" t="str">
        <f>IF($D8="","",VLOOKUP($D8,CTBat!$G$10:$BR$208,AG$1,FALSE))</f>
        <v/>
      </c>
      <c r="AH8" s="37" t="str">
        <f>IF($D8="","",VLOOKUP($D8,CTBat!$G$10:$BR$208,AH$1,FALSE))</f>
        <v/>
      </c>
      <c r="AI8" s="37" t="str">
        <f>IF($D8="","",VLOOKUP($D8,CTBat!$G$10:$BR$208,AI$1,FALSE))</f>
        <v/>
      </c>
      <c r="AJ8" s="58" t="str">
        <f>IF($D8="","",VLOOKUP($D8,CTBat!$G$10:$BR$208,AJ$1,FALSE))</f>
        <v/>
      </c>
      <c r="AK8" s="38" t="str">
        <f>IF($D8="","",VLOOKUP($D8,CTBat!$G$10:$BR$208,AK$1,FALSE))</f>
        <v/>
      </c>
      <c r="AL8" s="67" t="str">
        <f t="shared" si="13"/>
        <v/>
      </c>
      <c r="AM8" s="53" t="str">
        <f t="shared" si="14"/>
        <v/>
      </c>
      <c r="AN8" s="249" t="str">
        <f t="shared" si="15"/>
        <v/>
      </c>
      <c r="AO8" s="249" t="str">
        <f t="shared" si="16"/>
        <v/>
      </c>
      <c r="AP8" s="249" t="str">
        <f t="shared" si="17"/>
        <v/>
      </c>
      <c r="AQ8" s="249" t="str">
        <f t="shared" si="18"/>
        <v/>
      </c>
      <c r="AR8" s="249" t="str">
        <f t="shared" si="19"/>
        <v/>
      </c>
      <c r="AS8" s="249" t="str">
        <f t="shared" si="20"/>
        <v/>
      </c>
      <c r="AT8" s="249" t="str">
        <f t="shared" si="21"/>
        <v/>
      </c>
      <c r="AU8" s="250" t="str">
        <f t="shared" si="22"/>
        <v/>
      </c>
      <c r="AV8" s="58" t="str">
        <f>IF($D8="","",VLOOKUP($D8,CTBat!$G$10:$BR$208,AV$1,FALSE))</f>
        <v/>
      </c>
      <c r="AW8" s="37" t="str">
        <f>IF($D8="","",VLOOKUP($D8,CTBat!$G$10:$BR$208,AW$1,FALSE))</f>
        <v/>
      </c>
      <c r="AX8" s="37" t="str">
        <f>IF($D8="","",VLOOKUP($D8,CTBat!$G$10:$BR$208,AX$1,FALSE))</f>
        <v/>
      </c>
      <c r="AY8" s="37" t="str">
        <f>IF($D8="","",VLOOKUP($D8,CTBat!$G$10:$BR$208,AY$1,FALSE))</f>
        <v/>
      </c>
      <c r="AZ8" s="38" t="str">
        <f>IF($D8="","",VLOOKUP($D8,CTBat!$G$10:$BR$208,AZ$1,FALSE))</f>
        <v/>
      </c>
      <c r="BA8" s="67" t="str">
        <f t="shared" si="23"/>
        <v/>
      </c>
    </row>
    <row r="9" spans="1:53">
      <c r="A9">
        <v>7</v>
      </c>
      <c r="B9" s="263"/>
      <c r="C9" s="36" t="s">
        <v>104</v>
      </c>
      <c r="D9" s="65"/>
      <c r="E9" s="37" t="str">
        <f>IF($D9="","",VLOOKUP($D9,CTBat!$G$10:$BR$208,E$1,FALSE))</f>
        <v/>
      </c>
      <c r="F9" s="37" t="str">
        <f>IF($D9="","",VLOOKUP($D9,CTBat!$G$10:$BR$208,F$1,FALSE))</f>
        <v/>
      </c>
      <c r="G9" s="53" t="str">
        <f t="shared" si="3"/>
        <v/>
      </c>
      <c r="H9" s="249" t="str">
        <f t="shared" si="4"/>
        <v/>
      </c>
      <c r="I9" s="249" t="str">
        <f t="shared" si="5"/>
        <v/>
      </c>
      <c r="J9" s="249" t="str">
        <f t="shared" ref="J9:J11" si="24">IF($D9="","",IF(AND(T9&gt;4,T9&lt;&gt;"-"),1,0))</f>
        <v/>
      </c>
      <c r="K9" s="58" t="str">
        <f>IF($D9="","",VLOOKUP($D9,CTBat!$G$10:$BR$208,K$1,FALSE))</f>
        <v/>
      </c>
      <c r="L9" s="37" t="str">
        <f>IF($D9="","",VLOOKUP($D9,CTBat!$G$10:$BR$208,L$1,FALSE))</f>
        <v/>
      </c>
      <c r="M9" s="38" t="str">
        <f>IF($D9="","",VLOOKUP($D9,CTBat!$G$10:$BR$208,M$1,FALSE))</f>
        <v/>
      </c>
      <c r="N9" s="37" t="str">
        <f>IF($D9="","",VLOOKUP($D9,CTBat!$G$10:$BR$208,N$1,FALSE))</f>
        <v/>
      </c>
      <c r="O9" s="37" t="str">
        <f>IF($D9="","",VLOOKUP($D9,CTBat!$G$10:$BR$208,O$1,FALSE))</f>
        <v/>
      </c>
      <c r="P9" s="37" t="str">
        <f>IF($D9="","",VLOOKUP($D9,CTBat!$G$10:$BR$208,P$1,FALSE))</f>
        <v/>
      </c>
      <c r="Q9" s="37" t="str">
        <f>IF($D9="","",VLOOKUP($D9,CTBat!$G$10:$BR$208,Q$1,FALSE))</f>
        <v/>
      </c>
      <c r="R9" s="37" t="str">
        <f>IF($D9="","",VLOOKUP($D9,CTBat!$G$10:$BR$208,R$1,FALSE))</f>
        <v/>
      </c>
      <c r="S9" s="37" t="str">
        <f>IF($D9="","",VLOOKUP($D9,CTBat!$G$10:$BR$208,S$1,FALSE))</f>
        <v/>
      </c>
      <c r="T9" s="37" t="str">
        <f>IF($D9="","",VLOOKUP($D9,CTBat!$G$10:$BR$208,T$1,FALSE))</f>
        <v/>
      </c>
      <c r="U9" s="38" t="str">
        <f>IF($D9="","",VLOOKUP($D9,CTBat!$G$10:$BR$208,U$1,FALSE))</f>
        <v/>
      </c>
      <c r="V9" s="53" t="str">
        <f t="shared" si="1"/>
        <v/>
      </c>
      <c r="W9" s="249" t="str">
        <f t="shared" si="2"/>
        <v/>
      </c>
      <c r="X9" s="249" t="str">
        <f t="shared" si="6"/>
        <v/>
      </c>
      <c r="Y9" s="249" t="str">
        <f t="shared" si="7"/>
        <v/>
      </c>
      <c r="Z9" s="249" t="str">
        <f t="shared" si="8"/>
        <v/>
      </c>
      <c r="AA9" s="249" t="str">
        <f t="shared" si="9"/>
        <v/>
      </c>
      <c r="AB9" s="249" t="str">
        <f t="shared" si="10"/>
        <v/>
      </c>
      <c r="AC9" s="249" t="str">
        <f t="shared" si="11"/>
        <v/>
      </c>
      <c r="AD9" s="250" t="str">
        <f t="shared" si="12"/>
        <v/>
      </c>
      <c r="AE9" s="37" t="str">
        <f>IF($D9="","",VLOOKUP($D9,CTBat!$G$10:$BR$208,AE$1,FALSE))</f>
        <v/>
      </c>
      <c r="AF9" s="37" t="str">
        <f>IF($D9="","",VLOOKUP($D9,CTBat!$G$10:$BR$208,AF$1,FALSE))</f>
        <v/>
      </c>
      <c r="AG9" s="37" t="str">
        <f>IF($D9="","",VLOOKUP($D9,CTBat!$G$10:$BR$208,AG$1,FALSE))</f>
        <v/>
      </c>
      <c r="AH9" s="37" t="str">
        <f>IF($D9="","",VLOOKUP($D9,CTBat!$G$10:$BR$208,AH$1,FALSE))</f>
        <v/>
      </c>
      <c r="AI9" s="37" t="str">
        <f>IF($D9="","",VLOOKUP($D9,CTBat!$G$10:$BR$208,AI$1,FALSE))</f>
        <v/>
      </c>
      <c r="AJ9" s="58" t="str">
        <f>IF($D9="","",VLOOKUP($D9,CTBat!$G$10:$BR$208,AJ$1,FALSE))</f>
        <v/>
      </c>
      <c r="AK9" s="38" t="str">
        <f>IF($D9="","",VLOOKUP($D9,CTBat!$G$10:$BR$208,AK$1,FALSE))</f>
        <v/>
      </c>
      <c r="AL9" s="67" t="str">
        <f t="shared" si="13"/>
        <v/>
      </c>
      <c r="AM9" s="53" t="str">
        <f t="shared" si="14"/>
        <v/>
      </c>
      <c r="AN9" s="249" t="str">
        <f t="shared" si="15"/>
        <v/>
      </c>
      <c r="AO9" s="249" t="str">
        <f t="shared" si="16"/>
        <v/>
      </c>
      <c r="AP9" s="249" t="str">
        <f t="shared" si="17"/>
        <v/>
      </c>
      <c r="AQ9" s="249" t="str">
        <f t="shared" si="18"/>
        <v/>
      </c>
      <c r="AR9" s="249" t="str">
        <f t="shared" si="19"/>
        <v/>
      </c>
      <c r="AS9" s="249" t="str">
        <f t="shared" si="20"/>
        <v/>
      </c>
      <c r="AT9" s="249" t="str">
        <f t="shared" si="21"/>
        <v/>
      </c>
      <c r="AU9" s="250" t="str">
        <f t="shared" si="22"/>
        <v/>
      </c>
      <c r="AV9" s="58" t="str">
        <f>IF($D9="","",VLOOKUP($D9,CTBat!$G$10:$BR$208,AV$1,FALSE))</f>
        <v/>
      </c>
      <c r="AW9" s="37" t="str">
        <f>IF($D9="","",VLOOKUP($D9,CTBat!$G$10:$BR$208,AW$1,FALSE))</f>
        <v/>
      </c>
      <c r="AX9" s="37" t="str">
        <f>IF($D9="","",VLOOKUP($D9,CTBat!$G$10:$BR$208,AX$1,FALSE))</f>
        <v/>
      </c>
      <c r="AY9" s="37" t="str">
        <f>IF($D9="","",VLOOKUP($D9,CTBat!$G$10:$BR$208,AY$1,FALSE))</f>
        <v/>
      </c>
      <c r="AZ9" s="38" t="str">
        <f>IF($D9="","",VLOOKUP($D9,CTBat!$G$10:$BR$208,AZ$1,FALSE))</f>
        <v/>
      </c>
      <c r="BA9" s="67" t="str">
        <f t="shared" si="23"/>
        <v/>
      </c>
    </row>
    <row r="10" spans="1:53">
      <c r="A10">
        <v>8</v>
      </c>
      <c r="B10" s="263">
        <v>2021</v>
      </c>
      <c r="C10" s="36" t="s">
        <v>104</v>
      </c>
      <c r="D10" s="65" t="s">
        <v>496</v>
      </c>
      <c r="E10" s="37">
        <f>IF($D10="","",VLOOKUP($D10,CTBat!$G$10:$BR$208,E$1,FALSE))</f>
        <v>19</v>
      </c>
      <c r="F10" s="37" t="str">
        <f>IF($D10="","",VLOOKUP($D10,CTBat!$G$10:$BR$208,F$1,FALSE))</f>
        <v>R</v>
      </c>
      <c r="G10" s="53">
        <f t="shared" si="3"/>
        <v>0</v>
      </c>
      <c r="H10" s="249">
        <f t="shared" si="4"/>
        <v>0</v>
      </c>
      <c r="I10" s="249">
        <f t="shared" si="5"/>
        <v>1</v>
      </c>
      <c r="J10" s="249">
        <f t="shared" si="24"/>
        <v>0</v>
      </c>
      <c r="K10" s="58">
        <f>IF($D10="","",VLOOKUP($D10,CTBat!$G$10:$BR$208,K$1,FALSE))</f>
        <v>1</v>
      </c>
      <c r="L10" s="37">
        <f>IF($D10="","",VLOOKUP($D10,CTBat!$G$10:$BR$208,L$1,FALSE))</f>
        <v>1</v>
      </c>
      <c r="M10" s="38">
        <f>IF($D10="","",VLOOKUP($D10,CTBat!$G$10:$BR$208,M$1,FALSE))</f>
        <v>7</v>
      </c>
      <c r="N10" s="37" t="str">
        <f>IF($D10="","",VLOOKUP($D10,CTBat!$G$10:$BR$208,N$1,FALSE))</f>
        <v>-</v>
      </c>
      <c r="O10" s="37" t="str">
        <f>IF($D10="","",VLOOKUP($D10,CTBat!$G$10:$BR$208,O$1,FALSE))</f>
        <v>-</v>
      </c>
      <c r="P10" s="37" t="str">
        <f>IF($D10="","",VLOOKUP($D10,CTBat!$G$10:$BR$208,P$1,FALSE))</f>
        <v>-</v>
      </c>
      <c r="Q10" s="37" t="str">
        <f>IF($D10="","",VLOOKUP($D10,CTBat!$G$10:$BR$208,Q$1,FALSE))</f>
        <v>-</v>
      </c>
      <c r="R10" s="37" t="str">
        <f>IF($D10="","",VLOOKUP($D10,CTBat!$G$10:$BR$208,R$1,FALSE))</f>
        <v>-</v>
      </c>
      <c r="S10" s="37">
        <f>IF($D10="","",VLOOKUP($D10,CTBat!$G$10:$BR$208,S$1,FALSE))</f>
        <v>4</v>
      </c>
      <c r="T10" s="37">
        <f>IF($D10="","",VLOOKUP($D10,CTBat!$G$10:$BR$208,T$1,FALSE))</f>
        <v>1</v>
      </c>
      <c r="U10" s="38">
        <f>IF($D10="","",VLOOKUP($D10,CTBat!$G$10:$BR$208,U$1,FALSE))</f>
        <v>2</v>
      </c>
      <c r="V10" s="53">
        <f t="shared" si="1"/>
        <v>0</v>
      </c>
      <c r="W10" s="249">
        <f t="shared" si="2"/>
        <v>0</v>
      </c>
      <c r="X10" s="249">
        <f t="shared" si="6"/>
        <v>0</v>
      </c>
      <c r="Y10" s="249">
        <f t="shared" si="7"/>
        <v>0</v>
      </c>
      <c r="Z10" s="249">
        <f t="shared" si="8"/>
        <v>0</v>
      </c>
      <c r="AA10" s="249">
        <f t="shared" si="9"/>
        <v>0</v>
      </c>
      <c r="AB10" s="249">
        <f t="shared" si="10"/>
        <v>0</v>
      </c>
      <c r="AC10" s="249">
        <f t="shared" si="11"/>
        <v>0</v>
      </c>
      <c r="AD10" s="250">
        <f t="shared" si="12"/>
        <v>0</v>
      </c>
      <c r="AE10" s="37">
        <f>IF($D10="","",VLOOKUP($D10,CTBat!$G$10:$BR$208,AE$1,FALSE))</f>
        <v>3</v>
      </c>
      <c r="AF10" s="37">
        <f>IF($D10="","",VLOOKUP($D10,CTBat!$G$10:$BR$208,AF$1,FALSE))</f>
        <v>3</v>
      </c>
      <c r="AG10" s="37">
        <f>IF($D10="","",VLOOKUP($D10,CTBat!$G$10:$BR$208,AG$1,FALSE))</f>
        <v>1</v>
      </c>
      <c r="AH10" s="37">
        <f>IF($D10="","",VLOOKUP($D10,CTBat!$G$10:$BR$208,AH$1,FALSE))</f>
        <v>2</v>
      </c>
      <c r="AI10" s="37">
        <f>IF($D10="","",VLOOKUP($D10,CTBat!$G$10:$BR$208,AI$1,FALSE))</f>
        <v>2</v>
      </c>
      <c r="AJ10" s="58">
        <f>IF($D10="","",VLOOKUP($D10,CTBat!$G$10:$BR$208,AJ$1,FALSE))</f>
        <v>8</v>
      </c>
      <c r="AK10" s="38">
        <f>IF($D10="","",VLOOKUP($D10,CTBat!$G$10:$BR$208,AK$1,FALSE))</f>
        <v>10</v>
      </c>
      <c r="AL10" s="67">
        <f t="shared" si="13"/>
        <v>2.2361111111111112</v>
      </c>
      <c r="AM10" s="53">
        <f t="shared" si="14"/>
        <v>0</v>
      </c>
      <c r="AN10" s="249">
        <f t="shared" si="15"/>
        <v>1</v>
      </c>
      <c r="AO10" s="249">
        <f t="shared" si="16"/>
        <v>0</v>
      </c>
      <c r="AP10" s="249">
        <f t="shared" si="17"/>
        <v>0</v>
      </c>
      <c r="AQ10" s="249">
        <f t="shared" si="18"/>
        <v>1</v>
      </c>
      <c r="AR10" s="249">
        <f t="shared" si="19"/>
        <v>1</v>
      </c>
      <c r="AS10" s="249">
        <f t="shared" si="20"/>
        <v>1</v>
      </c>
      <c r="AT10" s="249">
        <f t="shared" si="21"/>
        <v>1</v>
      </c>
      <c r="AU10" s="250">
        <f t="shared" si="22"/>
        <v>1</v>
      </c>
      <c r="AV10" s="58">
        <f>IF($D10="","",VLOOKUP($D10,CTBat!$G$10:$BR$208,AV$1,FALSE))</f>
        <v>9</v>
      </c>
      <c r="AW10" s="37">
        <f>IF($D10="","",VLOOKUP($D10,CTBat!$G$10:$BR$208,AW$1,FALSE))</f>
        <v>7</v>
      </c>
      <c r="AX10" s="37">
        <f>IF($D10="","",VLOOKUP($D10,CTBat!$G$10:$BR$208,AX$1,FALSE))</f>
        <v>7</v>
      </c>
      <c r="AY10" s="37">
        <f>IF($D10="","",VLOOKUP($D10,CTBat!$G$10:$BR$208,AY$1,FALSE))</f>
        <v>3</v>
      </c>
      <c r="AZ10" s="38">
        <f>IF($D10="","",VLOOKUP($D10,CTBat!$G$10:$BR$208,AZ$1,FALSE))</f>
        <v>10</v>
      </c>
      <c r="BA10" s="67">
        <f t="shared" si="23"/>
        <v>7.1527777777777777</v>
      </c>
    </row>
    <row r="11" spans="1:53">
      <c r="A11">
        <v>9</v>
      </c>
      <c r="B11" s="264"/>
      <c r="C11" s="39" t="s">
        <v>104</v>
      </c>
      <c r="D11" s="40"/>
      <c r="E11" s="40" t="str">
        <f>IF($D11="","",VLOOKUP($D11,CTBat!$G$10:$BR$208,E$1,FALSE))</f>
        <v/>
      </c>
      <c r="F11" s="40" t="str">
        <f>IF($D11="","",VLOOKUP($D11,CTBat!$G$10:$BR$208,F$1,FALSE))</f>
        <v/>
      </c>
      <c r="G11" s="54" t="str">
        <f t="shared" si="3"/>
        <v/>
      </c>
      <c r="H11" s="247" t="str">
        <f t="shared" si="4"/>
        <v/>
      </c>
      <c r="I11" s="247" t="str">
        <f t="shared" si="5"/>
        <v/>
      </c>
      <c r="J11" s="247" t="str">
        <f t="shared" si="24"/>
        <v/>
      </c>
      <c r="K11" s="59" t="str">
        <f>IF($D11="","",VLOOKUP($D11,CTBat!$G$10:$BR$208,K$1,FALSE))</f>
        <v/>
      </c>
      <c r="L11" s="40" t="str">
        <f>IF($D11="","",VLOOKUP($D11,CTBat!$G$10:$BR$208,L$1,FALSE))</f>
        <v/>
      </c>
      <c r="M11" s="42" t="str">
        <f>IF($D11="","",VLOOKUP($D11,CTBat!$G$10:$BR$208,M$1,FALSE))</f>
        <v/>
      </c>
      <c r="N11" s="40" t="str">
        <f>IF($D11="","",VLOOKUP($D11,CTBat!$G$10:$BR$208,N$1,FALSE))</f>
        <v/>
      </c>
      <c r="O11" s="40" t="str">
        <f>IF($D11="","",VLOOKUP($D11,CTBat!$G$10:$BR$208,O$1,FALSE))</f>
        <v/>
      </c>
      <c r="P11" s="40" t="str">
        <f>IF($D11="","",VLOOKUP($D11,CTBat!$G$10:$BR$208,P$1,FALSE))</f>
        <v/>
      </c>
      <c r="Q11" s="40" t="str">
        <f>IF($D11="","",VLOOKUP($D11,CTBat!$G$10:$BR$208,Q$1,FALSE))</f>
        <v/>
      </c>
      <c r="R11" s="40" t="str">
        <f>IF($D11="","",VLOOKUP($D11,CTBat!$G$10:$BR$208,R$1,FALSE))</f>
        <v/>
      </c>
      <c r="S11" s="40" t="str">
        <f>IF($D11="","",VLOOKUP($D11,CTBat!$G$10:$BR$208,S$1,FALSE))</f>
        <v/>
      </c>
      <c r="T11" s="40" t="str">
        <f>IF($D11="","",VLOOKUP($D11,CTBat!$G$10:$BR$208,T$1,FALSE))</f>
        <v/>
      </c>
      <c r="U11" s="42" t="str">
        <f>IF($D11="","",VLOOKUP($D11,CTBat!$G$10:$BR$208,U$1,FALSE))</f>
        <v/>
      </c>
      <c r="V11" s="54" t="str">
        <f t="shared" si="1"/>
        <v/>
      </c>
      <c r="W11" s="247" t="str">
        <f t="shared" si="2"/>
        <v/>
      </c>
      <c r="X11" s="247" t="str">
        <f t="shared" si="6"/>
        <v/>
      </c>
      <c r="Y11" s="247" t="str">
        <f t="shared" si="7"/>
        <v/>
      </c>
      <c r="Z11" s="247" t="str">
        <f t="shared" si="8"/>
        <v/>
      </c>
      <c r="AA11" s="247" t="str">
        <f t="shared" si="9"/>
        <v/>
      </c>
      <c r="AB11" s="247" t="str">
        <f t="shared" si="10"/>
        <v/>
      </c>
      <c r="AC11" s="247" t="str">
        <f t="shared" si="11"/>
        <v/>
      </c>
      <c r="AD11" s="248" t="str">
        <f t="shared" si="12"/>
        <v/>
      </c>
      <c r="AE11" s="40" t="str">
        <f>IF($D11="","",VLOOKUP($D11,CTBat!$G$10:$BR$208,AE$1,FALSE))</f>
        <v/>
      </c>
      <c r="AF11" s="40" t="str">
        <f>IF($D11="","",VLOOKUP($D11,CTBat!$G$10:$BR$208,AF$1,FALSE))</f>
        <v/>
      </c>
      <c r="AG11" s="40" t="str">
        <f>IF($D11="","",VLOOKUP($D11,CTBat!$G$10:$BR$208,AG$1,FALSE))</f>
        <v/>
      </c>
      <c r="AH11" s="40" t="str">
        <f>IF($D11="","",VLOOKUP($D11,CTBat!$G$10:$BR$208,AH$1,FALSE))</f>
        <v/>
      </c>
      <c r="AI11" s="40" t="str">
        <f>IF($D11="","",VLOOKUP($D11,CTBat!$G$10:$BR$208,AI$1,FALSE))</f>
        <v/>
      </c>
      <c r="AJ11" s="59" t="str">
        <f>IF($D11="","",VLOOKUP($D11,CTBat!$G$10:$BR$208,AJ$1,FALSE))</f>
        <v/>
      </c>
      <c r="AK11" s="42" t="str">
        <f>IF($D11="","",VLOOKUP($D11,CTBat!$G$10:$BR$208,AK$1,FALSE))</f>
        <v/>
      </c>
      <c r="AL11" s="68" t="str">
        <f t="shared" si="13"/>
        <v/>
      </c>
      <c r="AM11" s="54" t="str">
        <f t="shared" si="14"/>
        <v/>
      </c>
      <c r="AN11" s="247" t="str">
        <f t="shared" si="15"/>
        <v/>
      </c>
      <c r="AO11" s="247" t="str">
        <f t="shared" si="16"/>
        <v/>
      </c>
      <c r="AP11" s="247" t="str">
        <f t="shared" si="17"/>
        <v/>
      </c>
      <c r="AQ11" s="247" t="str">
        <f t="shared" si="18"/>
        <v/>
      </c>
      <c r="AR11" s="247" t="str">
        <f t="shared" si="19"/>
        <v/>
      </c>
      <c r="AS11" s="247" t="str">
        <f t="shared" si="20"/>
        <v/>
      </c>
      <c r="AT11" s="247" t="str">
        <f t="shared" si="21"/>
        <v/>
      </c>
      <c r="AU11" s="248" t="str">
        <f t="shared" si="22"/>
        <v/>
      </c>
      <c r="AV11" s="59" t="str">
        <f>IF($D11="","",VLOOKUP($D11,CTBat!$G$10:$BR$208,AV$1,FALSE))</f>
        <v/>
      </c>
      <c r="AW11" s="40" t="str">
        <f>IF($D11="","",VLOOKUP($D11,CTBat!$G$10:$BR$208,AW$1,FALSE))</f>
        <v/>
      </c>
      <c r="AX11" s="40" t="str">
        <f>IF($D11="","",VLOOKUP($D11,CTBat!$G$10:$BR$208,AX$1,FALSE))</f>
        <v/>
      </c>
      <c r="AY11" s="40" t="str">
        <f>IF($D11="","",VLOOKUP($D11,CTBat!$G$10:$BR$208,AY$1,FALSE))</f>
        <v/>
      </c>
      <c r="AZ11" s="42" t="str">
        <f>IF($D11="","",VLOOKUP($D11,CTBat!$G$10:$BR$208,AZ$1,FALSE))</f>
        <v/>
      </c>
      <c r="BA11" s="68" t="str">
        <f t="shared" si="23"/>
        <v/>
      </c>
    </row>
    <row r="13" spans="1:53" s="24" customFormat="1" ht="196.5">
      <c r="A13" s="25" t="s">
        <v>196</v>
      </c>
      <c r="B13" s="259" t="s">
        <v>520</v>
      </c>
      <c r="C13" s="244" t="s">
        <v>128</v>
      </c>
      <c r="D13" s="44" t="str">
        <f>"Player ("&amp;COUNTA(D14:D19)&amp;")"</f>
        <v>Player (1)</v>
      </c>
      <c r="E13" s="44" t="s">
        <v>94</v>
      </c>
      <c r="F13" s="44" t="s">
        <v>104</v>
      </c>
      <c r="G13" s="51" t="str">
        <f>"Only 1 guy who only plays 2B ("&amp;SUM(G14:G19)&amp;")"</f>
        <v>Only 1 guy who only plays 2B (0)</v>
      </c>
      <c r="H13" s="46" t="str">
        <f>"2 Guys Who Play SS ("&amp;SUM(H14:H19)&amp;")"</f>
        <v>2 Guys Who Play SS (0)</v>
      </c>
      <c r="I13" s="46" t="str">
        <f>"2 guys with 3B arm ("&amp;SUM(I14:I19)&amp;")"</f>
        <v>2 guys with 3B arm (1)</v>
      </c>
      <c r="J13" s="49" t="s">
        <v>41</v>
      </c>
      <c r="K13" s="47" t="s">
        <v>139</v>
      </c>
      <c r="L13" s="47" t="s">
        <v>137</v>
      </c>
      <c r="M13" s="47" t="s">
        <v>138</v>
      </c>
      <c r="N13" s="63" t="s">
        <v>95</v>
      </c>
      <c r="O13" s="48" t="s">
        <v>97</v>
      </c>
      <c r="P13" s="48" t="s">
        <v>98</v>
      </c>
      <c r="Q13" s="48" t="s">
        <v>99</v>
      </c>
      <c r="R13" s="48" t="s">
        <v>100</v>
      </c>
      <c r="S13" s="48" t="s">
        <v>101</v>
      </c>
      <c r="T13" s="48" t="s">
        <v>102</v>
      </c>
      <c r="U13" s="49" t="s">
        <v>103</v>
      </c>
      <c r="V13" s="45" t="s">
        <v>140</v>
      </c>
      <c r="W13" s="45" t="s">
        <v>184</v>
      </c>
      <c r="X13" s="45" t="s">
        <v>141</v>
      </c>
      <c r="Y13" s="45" t="s">
        <v>142</v>
      </c>
      <c r="Z13" s="45" t="s">
        <v>143</v>
      </c>
      <c r="AA13" s="45" t="s">
        <v>144</v>
      </c>
      <c r="AB13" s="45" t="s">
        <v>145</v>
      </c>
      <c r="AC13" s="45" t="s">
        <v>147</v>
      </c>
      <c r="AD13" s="45" t="s">
        <v>146</v>
      </c>
      <c r="AE13" s="63" t="s">
        <v>150</v>
      </c>
      <c r="AF13" s="48" t="s">
        <v>151</v>
      </c>
      <c r="AG13" s="48" t="s">
        <v>152</v>
      </c>
      <c r="AH13" s="48" t="s">
        <v>153</v>
      </c>
      <c r="AI13" s="48" t="s">
        <v>29</v>
      </c>
      <c r="AJ13" s="48" t="s">
        <v>154</v>
      </c>
      <c r="AK13" s="49" t="s">
        <v>155</v>
      </c>
      <c r="AL13" s="66" t="s">
        <v>160</v>
      </c>
      <c r="AM13" s="45" t="s">
        <v>140</v>
      </c>
      <c r="AN13" s="45" t="s">
        <v>184</v>
      </c>
      <c r="AO13" s="45" t="s">
        <v>141</v>
      </c>
      <c r="AP13" s="45" t="s">
        <v>142</v>
      </c>
      <c r="AQ13" s="45" t="s">
        <v>143</v>
      </c>
      <c r="AR13" s="45" t="s">
        <v>144</v>
      </c>
      <c r="AS13" s="45" t="s">
        <v>145</v>
      </c>
      <c r="AT13" s="45" t="s">
        <v>147</v>
      </c>
      <c r="AU13" s="45" t="s">
        <v>146</v>
      </c>
      <c r="AV13" s="63" t="s">
        <v>150</v>
      </c>
      <c r="AW13" s="48" t="s">
        <v>151</v>
      </c>
      <c r="AX13" s="48" t="s">
        <v>152</v>
      </c>
      <c r="AY13" s="48" t="s">
        <v>153</v>
      </c>
      <c r="AZ13" s="49" t="s">
        <v>29</v>
      </c>
      <c r="BA13" s="66" t="s">
        <v>201</v>
      </c>
    </row>
    <row r="14" spans="1:53">
      <c r="A14">
        <v>1</v>
      </c>
      <c r="B14" s="263"/>
      <c r="C14" s="36" t="s">
        <v>98</v>
      </c>
      <c r="D14" s="37"/>
      <c r="E14" s="37" t="str">
        <f>IF($D14="","",VLOOKUP($D14,CTBat!$G$10:$BR$208,E$1,FALSE))</f>
        <v/>
      </c>
      <c r="F14" s="33" t="str">
        <f>IF($D14="","",VLOOKUP($D14,CTBat!$G$10:$BR$208,F$1,FALSE))</f>
        <v/>
      </c>
      <c r="G14" s="53" t="str">
        <f>IF($D14="","",IF(AND(P14&gt;0,P14=SUM(N14:U14)),1,0))</f>
        <v/>
      </c>
      <c r="H14" s="249" t="str">
        <f t="shared" ref="H14:H18" si="25">IF($D14="","",IF(R14&lt;&gt;"-",1,0))</f>
        <v/>
      </c>
      <c r="I14" s="249" t="str">
        <f>IF($D14="","",IF(AND(L14&gt;5,Q14&lt;&gt;"-"),1,0))</f>
        <v/>
      </c>
      <c r="J14" s="250" t="str">
        <f>IF($D14="","","-")</f>
        <v/>
      </c>
      <c r="K14" s="37" t="str">
        <f>IF($D14="","",VLOOKUP($D14,CTBat!$G$10:$BR$208,K$1,FALSE))</f>
        <v/>
      </c>
      <c r="L14" s="37" t="str">
        <f>IF($D14="","",VLOOKUP($D14,CTBat!$G$10:$BR$208,L$1,FALSE))</f>
        <v/>
      </c>
      <c r="M14" s="37" t="str">
        <f>IF($D14="","",VLOOKUP($D14,CTBat!$G$10:$BR$208,M$1,FALSE))</f>
        <v/>
      </c>
      <c r="N14" s="58" t="str">
        <f>IF($D14="","",VLOOKUP($D14,CTBat!$G$10:$BR$208,N$1,FALSE))</f>
        <v/>
      </c>
      <c r="O14" s="37" t="str">
        <f>IF($D14="","",VLOOKUP($D14,CTBat!$G$10:$BR$208,O$1,FALSE))</f>
        <v/>
      </c>
      <c r="P14" s="37" t="str">
        <f>IF($D14="","",VLOOKUP($D14,CTBat!$G$10:$BR$208,P$1,FALSE))</f>
        <v/>
      </c>
      <c r="Q14" s="37" t="str">
        <f>IF($D14="","",VLOOKUP($D14,CTBat!$G$10:$BR$208,Q$1,FALSE))</f>
        <v/>
      </c>
      <c r="R14" s="37" t="str">
        <f>IF($D14="","",VLOOKUP($D14,CTBat!$G$10:$BR$208,R$1,FALSE))</f>
        <v/>
      </c>
      <c r="S14" s="37" t="str">
        <f>IF($D14="","",VLOOKUP($D14,CTBat!$G$10:$BR$208,S$1,FALSE))</f>
        <v/>
      </c>
      <c r="T14" s="37" t="str">
        <f>IF($D14="","",VLOOKUP($D14,CTBat!$G$10:$BR$208,T$1,FALSE))</f>
        <v/>
      </c>
      <c r="U14" s="38" t="str">
        <f>IF($D14="","",VLOOKUP($D14,CTBat!$G$10:$BR$208,U$1,FALSE))</f>
        <v/>
      </c>
      <c r="V14" s="249" t="str">
        <f t="shared" ref="V14:V15" si="26">IF($D14="","",IF(OR(AE14+AH14&gt;14,AND(OR(AE14+AH14&gt;12,AND(AE14&gt;6,AH14&gt;6)),AJ14&gt;6,OR(AK14&gt;=AJ14,AK14&gt;6))),1,0))</f>
        <v/>
      </c>
      <c r="W14" s="249" t="str">
        <f t="shared" ref="W14:W19" si="27">IF($D14="","",IF(OR(AND(AE14&gt;6,AI14&gt;6),AE14+AH14&gt;12),1,0))</f>
        <v/>
      </c>
      <c r="X14" s="249" t="str">
        <f>IF($D14="","",IF(AND(AE14&gt;6,AG14&gt;6,AH14&gt;6),1,0))</f>
        <v/>
      </c>
      <c r="Y14" s="249" t="str">
        <f t="shared" ref="Y14:Y19" si="28">IF($D14="","",IF(AND(AG14&gt;7,OR(AE14&gt;6,AH14&gt;6)),1,0))</f>
        <v/>
      </c>
      <c r="Z14" s="249" t="str">
        <f t="shared" ref="Z14:Z19" si="29">IF($D14="","",IF(AND(AG14&gt;6,OR(AE14&gt;6,AH14&gt;6)),1,0))</f>
        <v/>
      </c>
      <c r="AA14" s="249" t="str">
        <f t="shared" ref="AA14:AA19" si="30">IF($D14="","",IF(AND(OR(AE14&gt;6,AG14&gt;6),OR(AE14&gt;6,AH14&gt;6)),1,0))</f>
        <v/>
      </c>
      <c r="AB14" s="249" t="str">
        <f t="shared" ref="AB14:AB19" si="31">IF($D14="","",IF(AND(AE14&gt;4,OR(AE14&gt;6,AG14&gt;6,AH14&gt;6)),1,0))</f>
        <v/>
      </c>
      <c r="AC14" s="249" t="str">
        <f t="shared" ref="AC14:AC19" si="32">IF($D14="","",IF(AND(AE14&gt;4,OR(AE14&gt;6,AF14&gt;6,AG14&gt;6,AH14&gt;6)),1,0))</f>
        <v/>
      </c>
      <c r="AD14" s="249" t="str">
        <f t="shared" ref="AD14:AD19" si="33">IF($D14="","",IF(AND(AE14&gt;4,MAX(AE14:AI14)&gt;6),1,0))</f>
        <v/>
      </c>
      <c r="AE14" s="58" t="str">
        <f>IF($D14="","",VLOOKUP($D14,CTBat!$G$10:$BR$208,AE$1,FALSE))</f>
        <v/>
      </c>
      <c r="AF14" s="37" t="str">
        <f>IF($D14="","",VLOOKUP($D14,CTBat!$G$10:$BR$208,AF$1,FALSE))</f>
        <v/>
      </c>
      <c r="AG14" s="37" t="str">
        <f>IF($D14="","",VLOOKUP($D14,CTBat!$G$10:$BR$208,AG$1,FALSE))</f>
        <v/>
      </c>
      <c r="AH14" s="37" t="str">
        <f>IF($D14="","",VLOOKUP($D14,CTBat!$G$10:$BR$208,AH$1,FALSE))</f>
        <v/>
      </c>
      <c r="AI14" s="37" t="str">
        <f>IF($D14="","",VLOOKUP($D14,CTBat!$G$10:$BR$208,AI$1,FALSE))</f>
        <v/>
      </c>
      <c r="AJ14" s="37" t="str">
        <f>IF($D14="","",VLOOKUP($D14,CTBat!$G$10:$BR$208,AJ$1,FALSE))</f>
        <v/>
      </c>
      <c r="AK14" s="38" t="str">
        <f>IF($D14="","",VLOOKUP($D14,CTBat!$G$10:$BR$208,AK$1,FALSE))</f>
        <v/>
      </c>
      <c r="AL14" s="67" t="str">
        <f>IF($D14="","",(5*AE14+4*AG14+3*AH14+2*AF14+1*AI14+0.5*(AVERAGE(AE14:AF14))+0.5*AVERAGE(AE14,AI14)+1*(AVERAGE(AE14,AG14))+1*AVERAGE(AE14,AH14))/(5+4+3+2+1+0.5+0.5+1+1))</f>
        <v/>
      </c>
      <c r="AM14" s="249" t="str">
        <f t="shared" ref="AM14:AM19" si="34">IF($D14="","",IF(AND(OR(AV14+AY14&gt;12,AND(AV14&gt;6,AY14&gt;6)),AJ14&gt;6,OR(AK14&gt;=AJ14,AK14&gt;6)),1,0))</f>
        <v/>
      </c>
      <c r="AN14" s="249" t="str">
        <f t="shared" ref="AN14:AN19" si="35">IF($D14="","",IF(OR(AND(AV14&gt;6,AZ14&gt;6),AV14+AY14&gt;12),1,0))</f>
        <v/>
      </c>
      <c r="AO14" s="249" t="str">
        <f t="shared" ref="AO14:AO19" si="36">IF($D14="","",IF(AND(AV14&gt;6,AX14&gt;6,AY14&gt;6),1,0))</f>
        <v/>
      </c>
      <c r="AP14" s="249" t="str">
        <f t="shared" ref="AP14:AP19" si="37">IF($D14="","",IF(AND(AX14&gt;7,OR(AV14&gt;6,AY14&gt;6)),1,0))</f>
        <v/>
      </c>
      <c r="AQ14" s="249" t="str">
        <f t="shared" ref="AQ14:AQ19" si="38">IF($D14="","",IF(AND(AX14&gt;6,OR(AV14&gt;6,AY14&gt;6)),1,0))</f>
        <v/>
      </c>
      <c r="AR14" s="249" t="str">
        <f t="shared" ref="AR14:AR19" si="39">IF($D14="","",IF(AND(OR(AV14&gt;6,AX14&gt;6),OR(AV14&gt;6,AY14&gt;6)),1,0))</f>
        <v/>
      </c>
      <c r="AS14" s="249" t="str">
        <f t="shared" ref="AS14:AS19" si="40">IF($D14="","",IF(AND(AV14&gt;4,OR(AV14&gt;6,AX14&gt;6,AY14&gt;6)),1,0))</f>
        <v/>
      </c>
      <c r="AT14" s="249" t="str">
        <f t="shared" ref="AT14:AT19" si="41">IF($D14="","",IF(AND(AV14&gt;4,OR(AV14&gt;6,AW14&gt;6,AX14&gt;6,AY14&gt;6)),1,0))</f>
        <v/>
      </c>
      <c r="AU14" s="249" t="str">
        <f t="shared" ref="AU14:AU19" si="42">IF($D14="","",IF(AND(AV14&gt;4,MAX(AV14:AZ14)&gt;6),1,0))</f>
        <v/>
      </c>
      <c r="AV14" s="58" t="str">
        <f>IF($D14="","",VLOOKUP($D14,CTBat!$G$10:$BR$208,AV$1,FALSE))</f>
        <v/>
      </c>
      <c r="AW14" s="37" t="str">
        <f>IF($D14="","",VLOOKUP($D14,CTBat!$G$10:$BR$208,AW$1,FALSE))</f>
        <v/>
      </c>
      <c r="AX14" s="37" t="str">
        <f>IF($D14="","",VLOOKUP($D14,CTBat!$G$10:$BR$208,AX$1,FALSE))</f>
        <v/>
      </c>
      <c r="AY14" s="37" t="str">
        <f>IF($D14="","",VLOOKUP($D14,CTBat!$G$10:$BR$208,AY$1,FALSE))</f>
        <v/>
      </c>
      <c r="AZ14" s="38" t="str">
        <f>IF($D14="","",VLOOKUP($D14,CTBat!$G$10:$BR$208,AZ$1,FALSE))</f>
        <v/>
      </c>
      <c r="BA14" s="67" t="str">
        <f t="shared" ref="BA14:BA19" si="43">IF($D14="","",(5*AV14+4*AX14+3*AY14+2*AW14+1*AZ14+0.5*(AVERAGE(AV14:AW14))+0.5*AVERAGE(AV14,AZ14)+1*(AVERAGE(AV14,AX14))+1*AVERAGE(AV14,AY14))/(5+4+3+2+1+0.5+0.5+1+1))</f>
        <v/>
      </c>
    </row>
    <row r="15" spans="1:53">
      <c r="A15">
        <v>2</v>
      </c>
      <c r="B15" s="263">
        <v>2020</v>
      </c>
      <c r="C15" s="36" t="s">
        <v>99</v>
      </c>
      <c r="D15" s="37" t="s">
        <v>401</v>
      </c>
      <c r="E15" s="37">
        <f>IF($D15="","",VLOOKUP($D15,CTBat!$G$10:$BR$208,E$1,FALSE))</f>
        <v>24</v>
      </c>
      <c r="F15" s="37" t="str">
        <f>IF($D15="","",VLOOKUP($D15,CTBat!$G$10:$BR$208,F$1,FALSE))</f>
        <v>R</v>
      </c>
      <c r="G15" s="53">
        <f t="shared" ref="G15:G19" si="44">IF($D15="","",IF(AND(P15&gt;0,P15=SUM(N15:U15)),1,0))</f>
        <v>0</v>
      </c>
      <c r="H15" s="249">
        <f t="shared" si="25"/>
        <v>0</v>
      </c>
      <c r="I15" s="249">
        <f>IF($D15="","",IF(AND(L15&gt;5,Q15&lt;&gt;"-"),1,0))</f>
        <v>1</v>
      </c>
      <c r="J15" s="250" t="str">
        <f t="shared" ref="J15:J19" si="45">IF($D15="","","-")</f>
        <v>-</v>
      </c>
      <c r="K15" s="37">
        <f>IF($D15="","",VLOOKUP($D15,CTBat!$G$10:$BR$208,K$1,FALSE))</f>
        <v>1</v>
      </c>
      <c r="L15" s="37">
        <f>IF($D15="","",VLOOKUP($D15,CTBat!$G$10:$BR$208,L$1,FALSE))</f>
        <v>9</v>
      </c>
      <c r="M15" s="37">
        <f>IF($D15="","",VLOOKUP($D15,CTBat!$G$10:$BR$208,M$1,FALSE))</f>
        <v>9</v>
      </c>
      <c r="N15" s="58" t="str">
        <f>IF($D15="","",VLOOKUP($D15,CTBat!$G$10:$BR$208,N$1,FALSE))</f>
        <v>-</v>
      </c>
      <c r="O15" s="37">
        <f>IF($D15="","",VLOOKUP($D15,CTBat!$G$10:$BR$208,O$1,FALSE))</f>
        <v>7</v>
      </c>
      <c r="P15" s="37" t="str">
        <f>IF($D15="","",VLOOKUP($D15,CTBat!$G$10:$BR$208,P$1,FALSE))</f>
        <v>-</v>
      </c>
      <c r="Q15" s="37">
        <f>IF($D15="","",VLOOKUP($D15,CTBat!$G$10:$BR$208,Q$1,FALSE))</f>
        <v>8</v>
      </c>
      <c r="R15" s="37" t="str">
        <f>IF($D15="","",VLOOKUP($D15,CTBat!$G$10:$BR$208,R$1,FALSE))</f>
        <v>-</v>
      </c>
      <c r="S15" s="37">
        <f>IF($D15="","",VLOOKUP($D15,CTBat!$G$10:$BR$208,S$1,FALSE))</f>
        <v>4</v>
      </c>
      <c r="T15" s="37">
        <f>IF($D15="","",VLOOKUP($D15,CTBat!$G$10:$BR$208,T$1,FALSE))</f>
        <v>2</v>
      </c>
      <c r="U15" s="38">
        <f>IF($D15="","",VLOOKUP($D15,CTBat!$G$10:$BR$208,U$1,FALSE))</f>
        <v>4</v>
      </c>
      <c r="V15" s="249">
        <f t="shared" si="26"/>
        <v>0</v>
      </c>
      <c r="W15" s="249">
        <f t="shared" si="27"/>
        <v>0</v>
      </c>
      <c r="X15" s="249">
        <f t="shared" ref="X15:X19" si="46">IF($D15="","",IF(AND(AE15&gt;6,AG15&gt;6,AH15&gt;6),1,0))</f>
        <v>0</v>
      </c>
      <c r="Y15" s="249">
        <f t="shared" si="28"/>
        <v>0</v>
      </c>
      <c r="Z15" s="249">
        <f t="shared" si="29"/>
        <v>0</v>
      </c>
      <c r="AA15" s="249">
        <f t="shared" si="30"/>
        <v>0</v>
      </c>
      <c r="AB15" s="249">
        <f t="shared" si="31"/>
        <v>0</v>
      </c>
      <c r="AC15" s="249">
        <f t="shared" si="32"/>
        <v>0</v>
      </c>
      <c r="AD15" s="249">
        <f t="shared" si="33"/>
        <v>0</v>
      </c>
      <c r="AE15" s="58">
        <f>IF($D15="","",VLOOKUP($D15,CTBat!$G$10:$BR$208,AE$1,FALSE))</f>
        <v>6</v>
      </c>
      <c r="AF15" s="37">
        <f>IF($D15="","",VLOOKUP($D15,CTBat!$G$10:$BR$208,AF$1,FALSE))</f>
        <v>5</v>
      </c>
      <c r="AG15" s="37">
        <f>IF($D15="","",VLOOKUP($D15,CTBat!$G$10:$BR$208,AG$1,FALSE))</f>
        <v>4</v>
      </c>
      <c r="AH15" s="37">
        <f>IF($D15="","",VLOOKUP($D15,CTBat!$G$10:$BR$208,AH$1,FALSE))</f>
        <v>3</v>
      </c>
      <c r="AI15" s="37">
        <f>IF($D15="","",VLOOKUP($D15,CTBat!$G$10:$BR$208,AI$1,FALSE))</f>
        <v>3</v>
      </c>
      <c r="AJ15" s="37">
        <f>IF($D15="","",VLOOKUP($D15,CTBat!$G$10:$BR$208,AJ$1,FALSE))</f>
        <v>2</v>
      </c>
      <c r="AK15" s="38">
        <f>IF($D15="","",VLOOKUP($D15,CTBat!$G$10:$BR$208,AK$1,FALSE))</f>
        <v>5</v>
      </c>
      <c r="AL15" s="67">
        <f t="shared" ref="AL15:AL19" si="47">IF($D15="","",(5*AE15+4*AG15+3*AH15+2*AF15+1*AI15+0.5*(AVERAGE(AE15:AF15))+0.5*AVERAGE(AE15,AI15)+1*(AVERAGE(AE15,AG15))+1*AVERAGE(AE15,AH15))/(5+4+3+2+1+0.5+0.5+1+1))</f>
        <v>4.583333333333333</v>
      </c>
      <c r="AM15" s="249">
        <f t="shared" si="34"/>
        <v>0</v>
      </c>
      <c r="AN15" s="249">
        <f t="shared" si="35"/>
        <v>1</v>
      </c>
      <c r="AO15" s="249">
        <f t="shared" si="36"/>
        <v>0</v>
      </c>
      <c r="AP15" s="249">
        <f t="shared" si="37"/>
        <v>1</v>
      </c>
      <c r="AQ15" s="249">
        <f t="shared" si="38"/>
        <v>1</v>
      </c>
      <c r="AR15" s="249">
        <f t="shared" si="39"/>
        <v>1</v>
      </c>
      <c r="AS15" s="249">
        <f t="shared" si="40"/>
        <v>1</v>
      </c>
      <c r="AT15" s="249">
        <f t="shared" si="41"/>
        <v>1</v>
      </c>
      <c r="AU15" s="249">
        <f t="shared" si="42"/>
        <v>1</v>
      </c>
      <c r="AV15" s="58">
        <f>IF($D15="","",VLOOKUP($D15,CTBat!$G$10:$BR$208,AV$1,FALSE))</f>
        <v>9</v>
      </c>
      <c r="AW15" s="37">
        <f>IF($D15="","",VLOOKUP($D15,CTBat!$G$10:$BR$208,AW$1,FALSE))</f>
        <v>5</v>
      </c>
      <c r="AX15" s="37">
        <f>IF($D15="","",VLOOKUP($D15,CTBat!$G$10:$BR$208,AX$1,FALSE))</f>
        <v>8</v>
      </c>
      <c r="AY15" s="37">
        <f>IF($D15="","",VLOOKUP($D15,CTBat!$G$10:$BR$208,AY$1,FALSE))</f>
        <v>5</v>
      </c>
      <c r="AZ15" s="38">
        <f>IF($D15="","",VLOOKUP($D15,CTBat!$G$10:$BR$208,AZ$1,FALSE))</f>
        <v>5</v>
      </c>
      <c r="BA15" s="67">
        <f t="shared" si="43"/>
        <v>7.1944444444444446</v>
      </c>
    </row>
    <row r="16" spans="1:53">
      <c r="A16">
        <v>3</v>
      </c>
      <c r="B16" s="263"/>
      <c r="C16" s="36" t="s">
        <v>100</v>
      </c>
      <c r="D16" s="37"/>
      <c r="E16" s="37" t="str">
        <f>IF($D16="","",VLOOKUP($D16,CTBat!$G$10:$BR$208,E$1,FALSE))</f>
        <v/>
      </c>
      <c r="F16" s="37" t="str">
        <f>IF($D16="","",VLOOKUP($D16,CTBat!$G$10:$BR$208,F$1,FALSE))</f>
        <v/>
      </c>
      <c r="G16" s="53" t="str">
        <f t="shared" si="44"/>
        <v/>
      </c>
      <c r="H16" s="249" t="str">
        <f t="shared" si="25"/>
        <v/>
      </c>
      <c r="I16" s="249" t="str">
        <f t="shared" ref="I16:I19" si="48">IF($D16="","",IF(AND(L16&gt;5,Q16&lt;&gt;"-"),1,0))</f>
        <v/>
      </c>
      <c r="J16" s="250" t="str">
        <f t="shared" si="45"/>
        <v/>
      </c>
      <c r="K16" s="37" t="str">
        <f>IF($D16="","",VLOOKUP($D16,CTBat!$G$10:$BR$208,K$1,FALSE))</f>
        <v/>
      </c>
      <c r="L16" s="37" t="str">
        <f>IF($D16="","",VLOOKUP($D16,CTBat!$G$10:$BR$208,L$1,FALSE))</f>
        <v/>
      </c>
      <c r="M16" s="37" t="str">
        <f>IF($D16="","",VLOOKUP($D16,CTBat!$G$10:$BR$208,M$1,FALSE))</f>
        <v/>
      </c>
      <c r="N16" s="58" t="str">
        <f>IF($D16="","",VLOOKUP($D16,CTBat!$G$10:$BR$208,N$1,FALSE))</f>
        <v/>
      </c>
      <c r="O16" s="37" t="str">
        <f>IF($D16="","",VLOOKUP($D16,CTBat!$G$10:$BR$208,O$1,FALSE))</f>
        <v/>
      </c>
      <c r="P16" s="37" t="str">
        <f>IF($D16="","",VLOOKUP($D16,CTBat!$G$10:$BR$208,P$1,FALSE))</f>
        <v/>
      </c>
      <c r="Q16" s="37" t="str">
        <f>IF($D16="","",VLOOKUP($D16,CTBat!$G$10:$BR$208,Q$1,FALSE))</f>
        <v/>
      </c>
      <c r="R16" s="37" t="str">
        <f>IF($D16="","",VLOOKUP($D16,CTBat!$G$10:$BR$208,R$1,FALSE))</f>
        <v/>
      </c>
      <c r="S16" s="37" t="str">
        <f>IF($D16="","",VLOOKUP($D16,CTBat!$G$10:$BR$208,S$1,FALSE))</f>
        <v/>
      </c>
      <c r="T16" s="37" t="str">
        <f>IF($D16="","",VLOOKUP($D16,CTBat!$G$10:$BR$208,T$1,FALSE))</f>
        <v/>
      </c>
      <c r="U16" s="38" t="str">
        <f>IF($D16="","",VLOOKUP($D16,CTBat!$G$10:$BR$208,U$1,FALSE))</f>
        <v/>
      </c>
      <c r="V16" s="249" t="str">
        <f>IF($D16="","",IF(OR(AE16+AH16&gt;14,AND(OR(AE16+AH16&gt;12,AND(AE16&gt;6,AH16&gt;6)),AJ16&gt;6,OR(AK16&gt;=AJ16,AK16&gt;6))),1,0))</f>
        <v/>
      </c>
      <c r="W16" s="249" t="str">
        <f t="shared" si="27"/>
        <v/>
      </c>
      <c r="X16" s="249" t="str">
        <f t="shared" si="46"/>
        <v/>
      </c>
      <c r="Y16" s="249" t="str">
        <f t="shared" si="28"/>
        <v/>
      </c>
      <c r="Z16" s="249" t="str">
        <f t="shared" si="29"/>
        <v/>
      </c>
      <c r="AA16" s="249" t="str">
        <f t="shared" si="30"/>
        <v/>
      </c>
      <c r="AB16" s="249" t="str">
        <f t="shared" si="31"/>
        <v/>
      </c>
      <c r="AC16" s="249" t="str">
        <f t="shared" si="32"/>
        <v/>
      </c>
      <c r="AD16" s="249" t="str">
        <f t="shared" si="33"/>
        <v/>
      </c>
      <c r="AE16" s="58" t="str">
        <f>IF($D16="","",VLOOKUP($D16,CTBat!$G$10:$BR$208,AE$1,FALSE))</f>
        <v/>
      </c>
      <c r="AF16" s="37" t="str">
        <f>IF($D16="","",VLOOKUP($D16,CTBat!$G$10:$BR$208,AF$1,FALSE))</f>
        <v/>
      </c>
      <c r="AG16" s="37" t="str">
        <f>IF($D16="","",VLOOKUP($D16,CTBat!$G$10:$BR$208,AG$1,FALSE))</f>
        <v/>
      </c>
      <c r="AH16" s="37" t="str">
        <f>IF($D16="","",VLOOKUP($D16,CTBat!$G$10:$BR$208,AH$1,FALSE))</f>
        <v/>
      </c>
      <c r="AI16" s="37" t="str">
        <f>IF($D16="","",VLOOKUP($D16,CTBat!$G$10:$BR$208,AI$1,FALSE))</f>
        <v/>
      </c>
      <c r="AJ16" s="37" t="str">
        <f>IF($D16="","",VLOOKUP($D16,CTBat!$G$10:$BR$208,AJ$1,FALSE))</f>
        <v/>
      </c>
      <c r="AK16" s="38" t="str">
        <f>IF($D16="","",VLOOKUP($D16,CTBat!$G$10:$BR$208,AK$1,FALSE))</f>
        <v/>
      </c>
      <c r="AL16" s="67" t="str">
        <f t="shared" si="47"/>
        <v/>
      </c>
      <c r="AM16" s="249" t="str">
        <f t="shared" si="34"/>
        <v/>
      </c>
      <c r="AN16" s="249" t="str">
        <f t="shared" si="35"/>
        <v/>
      </c>
      <c r="AO16" s="249" t="str">
        <f t="shared" si="36"/>
        <v/>
      </c>
      <c r="AP16" s="249" t="str">
        <f t="shared" si="37"/>
        <v/>
      </c>
      <c r="AQ16" s="249" t="str">
        <f t="shared" si="38"/>
        <v/>
      </c>
      <c r="AR16" s="249" t="str">
        <f t="shared" si="39"/>
        <v/>
      </c>
      <c r="AS16" s="249" t="str">
        <f t="shared" si="40"/>
        <v/>
      </c>
      <c r="AT16" s="249" t="str">
        <f t="shared" si="41"/>
        <v/>
      </c>
      <c r="AU16" s="249" t="str">
        <f t="shared" si="42"/>
        <v/>
      </c>
      <c r="AV16" s="58" t="str">
        <f>IF($D16="","",VLOOKUP($D16,CTBat!$G$10:$BR$208,AV$1,FALSE))</f>
        <v/>
      </c>
      <c r="AW16" s="37" t="str">
        <f>IF($D16="","",VLOOKUP($D16,CTBat!$G$10:$BR$208,AW$1,FALSE))</f>
        <v/>
      </c>
      <c r="AX16" s="37" t="str">
        <f>IF($D16="","",VLOOKUP($D16,CTBat!$G$10:$BR$208,AX$1,FALSE))</f>
        <v/>
      </c>
      <c r="AY16" s="37" t="str">
        <f>IF($D16="","",VLOOKUP($D16,CTBat!$G$10:$BR$208,AY$1,FALSE))</f>
        <v/>
      </c>
      <c r="AZ16" s="38" t="str">
        <f>IF($D16="","",VLOOKUP($D16,CTBat!$G$10:$BR$208,AZ$1,FALSE))</f>
        <v/>
      </c>
      <c r="BA16" s="67" t="str">
        <f t="shared" si="43"/>
        <v/>
      </c>
    </row>
    <row r="17" spans="1:53">
      <c r="A17">
        <v>4</v>
      </c>
      <c r="B17" s="263"/>
      <c r="C17" s="36" t="s">
        <v>104</v>
      </c>
      <c r="D17" s="37"/>
      <c r="E17" s="37" t="str">
        <f>IF($D17="","",VLOOKUP($D17,CTBat!$G$10:$BR$208,E$1,FALSE))</f>
        <v/>
      </c>
      <c r="F17" s="37" t="str">
        <f>IF($D17="","",VLOOKUP($D17,CTBat!$G$10:$BR$208,F$1,FALSE))</f>
        <v/>
      </c>
      <c r="G17" s="53" t="str">
        <f t="shared" si="44"/>
        <v/>
      </c>
      <c r="H17" s="249" t="str">
        <f t="shared" si="25"/>
        <v/>
      </c>
      <c r="I17" s="249" t="str">
        <f t="shared" si="48"/>
        <v/>
      </c>
      <c r="J17" s="250" t="str">
        <f t="shared" si="45"/>
        <v/>
      </c>
      <c r="K17" s="37" t="str">
        <f>IF($D17="","",VLOOKUP($D17,CTBat!$G$10:$BR$208,K$1,FALSE))</f>
        <v/>
      </c>
      <c r="L17" s="37" t="str">
        <f>IF($D17="","",VLOOKUP($D17,CTBat!$G$10:$BR$208,L$1,FALSE))</f>
        <v/>
      </c>
      <c r="M17" s="37" t="str">
        <f>IF($D17="","",VLOOKUP($D17,CTBat!$G$10:$BR$208,M$1,FALSE))</f>
        <v/>
      </c>
      <c r="N17" s="58" t="str">
        <f>IF($D17="","",VLOOKUP($D17,CTBat!$G$10:$BR$208,N$1,FALSE))</f>
        <v/>
      </c>
      <c r="O17" s="37" t="str">
        <f>IF($D17="","",VLOOKUP($D17,CTBat!$G$10:$BR$208,O$1,FALSE))</f>
        <v/>
      </c>
      <c r="P17" s="37" t="str">
        <f>IF($D17="","",VLOOKUP($D17,CTBat!$G$10:$BR$208,P$1,FALSE))</f>
        <v/>
      </c>
      <c r="Q17" s="37" t="str">
        <f>IF($D17="","",VLOOKUP($D17,CTBat!$G$10:$BR$208,Q$1,FALSE))</f>
        <v/>
      </c>
      <c r="R17" s="37" t="str">
        <f>IF($D17="","",VLOOKUP($D17,CTBat!$G$10:$BR$208,R$1,FALSE))</f>
        <v/>
      </c>
      <c r="S17" s="37" t="str">
        <f>IF($D17="","",VLOOKUP($D17,CTBat!$G$10:$BR$208,S$1,FALSE))</f>
        <v/>
      </c>
      <c r="T17" s="37" t="str">
        <f>IF($D17="","",VLOOKUP($D17,CTBat!$G$10:$BR$208,T$1,FALSE))</f>
        <v/>
      </c>
      <c r="U17" s="38" t="str">
        <f>IF($D17="","",VLOOKUP($D17,CTBat!$G$10:$BR$208,U$1,FALSE))</f>
        <v/>
      </c>
      <c r="V17" s="249" t="str">
        <f t="shared" ref="V17:V19" si="49">IF($D17="","",IF(OR(AE17+AH17&gt;14,AND(OR(AE17+AH17&gt;12,AND(AE17&gt;6,AH17&gt;6)),AJ17&gt;6,OR(AK17&gt;=AJ17,AK17&gt;6))),1,0))</f>
        <v/>
      </c>
      <c r="W17" s="249" t="str">
        <f t="shared" si="27"/>
        <v/>
      </c>
      <c r="X17" s="249" t="str">
        <f t="shared" si="46"/>
        <v/>
      </c>
      <c r="Y17" s="249" t="str">
        <f t="shared" si="28"/>
        <v/>
      </c>
      <c r="Z17" s="249" t="str">
        <f t="shared" si="29"/>
        <v/>
      </c>
      <c r="AA17" s="249" t="str">
        <f t="shared" si="30"/>
        <v/>
      </c>
      <c r="AB17" s="249" t="str">
        <f t="shared" si="31"/>
        <v/>
      </c>
      <c r="AC17" s="249" t="str">
        <f t="shared" si="32"/>
        <v/>
      </c>
      <c r="AD17" s="249" t="str">
        <f t="shared" si="33"/>
        <v/>
      </c>
      <c r="AE17" s="58" t="str">
        <f>IF($D17="","",VLOOKUP($D17,CTBat!$G$10:$BR$208,AE$1,FALSE))</f>
        <v/>
      </c>
      <c r="AF17" s="37" t="str">
        <f>IF($D17="","",VLOOKUP($D17,CTBat!$G$10:$BR$208,AF$1,FALSE))</f>
        <v/>
      </c>
      <c r="AG17" s="37" t="str">
        <f>IF($D17="","",VLOOKUP($D17,CTBat!$G$10:$BR$208,AG$1,FALSE))</f>
        <v/>
      </c>
      <c r="AH17" s="37" t="str">
        <f>IF($D17="","",VLOOKUP($D17,CTBat!$G$10:$BR$208,AH$1,FALSE))</f>
        <v/>
      </c>
      <c r="AI17" s="37" t="str">
        <f>IF($D17="","",VLOOKUP($D17,CTBat!$G$10:$BR$208,AI$1,FALSE))</f>
        <v/>
      </c>
      <c r="AJ17" s="37" t="str">
        <f>IF($D17="","",VLOOKUP($D17,CTBat!$G$10:$BR$208,AJ$1,FALSE))</f>
        <v/>
      </c>
      <c r="AK17" s="38" t="str">
        <f>IF($D17="","",VLOOKUP($D17,CTBat!$G$10:$BR$208,AK$1,FALSE))</f>
        <v/>
      </c>
      <c r="AL17" s="67" t="str">
        <f t="shared" si="47"/>
        <v/>
      </c>
      <c r="AM17" s="249" t="str">
        <f t="shared" si="34"/>
        <v/>
      </c>
      <c r="AN17" s="249" t="str">
        <f t="shared" si="35"/>
        <v/>
      </c>
      <c r="AO17" s="249" t="str">
        <f t="shared" si="36"/>
        <v/>
      </c>
      <c r="AP17" s="249" t="str">
        <f t="shared" si="37"/>
        <v/>
      </c>
      <c r="AQ17" s="249" t="str">
        <f t="shared" si="38"/>
        <v/>
      </c>
      <c r="AR17" s="249" t="str">
        <f t="shared" si="39"/>
        <v/>
      </c>
      <c r="AS17" s="249" t="str">
        <f t="shared" si="40"/>
        <v/>
      </c>
      <c r="AT17" s="249" t="str">
        <f t="shared" si="41"/>
        <v/>
      </c>
      <c r="AU17" s="249" t="str">
        <f t="shared" si="42"/>
        <v/>
      </c>
      <c r="AV17" s="58" t="str">
        <f>IF($D17="","",VLOOKUP($D17,CTBat!$G$10:$BR$208,AV$1,FALSE))</f>
        <v/>
      </c>
      <c r="AW17" s="37" t="str">
        <f>IF($D17="","",VLOOKUP($D17,CTBat!$G$10:$BR$208,AW$1,FALSE))</f>
        <v/>
      </c>
      <c r="AX17" s="37" t="str">
        <f>IF($D17="","",VLOOKUP($D17,CTBat!$G$10:$BR$208,AX$1,FALSE))</f>
        <v/>
      </c>
      <c r="AY17" s="37" t="str">
        <f>IF($D17="","",VLOOKUP($D17,CTBat!$G$10:$BR$208,AY$1,FALSE))</f>
        <v/>
      </c>
      <c r="AZ17" s="38" t="str">
        <f>IF($D17="","",VLOOKUP($D17,CTBat!$G$10:$BR$208,AZ$1,FALSE))</f>
        <v/>
      </c>
      <c r="BA17" s="67" t="str">
        <f t="shared" si="43"/>
        <v/>
      </c>
    </row>
    <row r="18" spans="1:53">
      <c r="A18">
        <v>5</v>
      </c>
      <c r="B18" s="263"/>
      <c r="C18" s="36" t="s">
        <v>104</v>
      </c>
      <c r="D18" s="65"/>
      <c r="E18" s="37" t="str">
        <f>IF($D18="","",VLOOKUP($D18,CTBat!$G$10:$BR$208,E$1,FALSE))</f>
        <v/>
      </c>
      <c r="F18" s="37" t="str">
        <f>IF($D18="","",VLOOKUP($D18,CTBat!$G$10:$BR$208,F$1,FALSE))</f>
        <v/>
      </c>
      <c r="G18" s="53" t="str">
        <f t="shared" si="44"/>
        <v/>
      </c>
      <c r="H18" s="249" t="str">
        <f t="shared" si="25"/>
        <v/>
      </c>
      <c r="I18" s="249" t="str">
        <f t="shared" si="48"/>
        <v/>
      </c>
      <c r="J18" s="250" t="str">
        <f t="shared" si="45"/>
        <v/>
      </c>
      <c r="K18" s="37" t="str">
        <f>IF($D18="","",VLOOKUP($D18,CTBat!$G$10:$BR$208,K$1,FALSE))</f>
        <v/>
      </c>
      <c r="L18" s="37" t="str">
        <f>IF($D18="","",VLOOKUP($D18,CTBat!$G$10:$BR$208,L$1,FALSE))</f>
        <v/>
      </c>
      <c r="M18" s="37" t="str">
        <f>IF($D18="","",VLOOKUP($D18,CTBat!$G$10:$BR$208,M$1,FALSE))</f>
        <v/>
      </c>
      <c r="N18" s="58" t="str">
        <f>IF($D18="","",VLOOKUP($D18,CTBat!$G$10:$BR$208,N$1,FALSE))</f>
        <v/>
      </c>
      <c r="O18" s="37" t="str">
        <f>IF($D18="","",VLOOKUP($D18,CTBat!$G$10:$BR$208,O$1,FALSE))</f>
        <v/>
      </c>
      <c r="P18" s="37" t="str">
        <f>IF($D18="","",VLOOKUP($D18,CTBat!$G$10:$BR$208,P$1,FALSE))</f>
        <v/>
      </c>
      <c r="Q18" s="37" t="str">
        <f>IF($D18="","",VLOOKUP($D18,CTBat!$G$10:$BR$208,Q$1,FALSE))</f>
        <v/>
      </c>
      <c r="R18" s="37" t="str">
        <f>IF($D18="","",VLOOKUP($D18,CTBat!$G$10:$BR$208,R$1,FALSE))</f>
        <v/>
      </c>
      <c r="S18" s="37" t="str">
        <f>IF($D18="","",VLOOKUP($D18,CTBat!$G$10:$BR$208,S$1,FALSE))</f>
        <v/>
      </c>
      <c r="T18" s="37" t="str">
        <f>IF($D18="","",VLOOKUP($D18,CTBat!$G$10:$BR$208,T$1,FALSE))</f>
        <v/>
      </c>
      <c r="U18" s="38" t="str">
        <f>IF($D18="","",VLOOKUP($D18,CTBat!$G$10:$BR$208,U$1,FALSE))</f>
        <v/>
      </c>
      <c r="V18" s="249" t="str">
        <f t="shared" si="49"/>
        <v/>
      </c>
      <c r="W18" s="249" t="str">
        <f t="shared" si="27"/>
        <v/>
      </c>
      <c r="X18" s="249" t="str">
        <f t="shared" si="46"/>
        <v/>
      </c>
      <c r="Y18" s="249" t="str">
        <f t="shared" si="28"/>
        <v/>
      </c>
      <c r="Z18" s="249" t="str">
        <f t="shared" si="29"/>
        <v/>
      </c>
      <c r="AA18" s="249" t="str">
        <f t="shared" si="30"/>
        <v/>
      </c>
      <c r="AB18" s="249" t="str">
        <f t="shared" si="31"/>
        <v/>
      </c>
      <c r="AC18" s="249" t="str">
        <f t="shared" si="32"/>
        <v/>
      </c>
      <c r="AD18" s="249" t="str">
        <f t="shared" si="33"/>
        <v/>
      </c>
      <c r="AE18" s="58" t="str">
        <f>IF($D18="","",VLOOKUP($D18,CTBat!$G$10:$BR$208,AE$1,FALSE))</f>
        <v/>
      </c>
      <c r="AF18" s="37" t="str">
        <f>IF($D18="","",VLOOKUP($D18,CTBat!$G$10:$BR$208,AF$1,FALSE))</f>
        <v/>
      </c>
      <c r="AG18" s="37" t="str">
        <f>IF($D18="","",VLOOKUP($D18,CTBat!$G$10:$BR$208,AG$1,FALSE))</f>
        <v/>
      </c>
      <c r="AH18" s="37" t="str">
        <f>IF($D18="","",VLOOKUP($D18,CTBat!$G$10:$BR$208,AH$1,FALSE))</f>
        <v/>
      </c>
      <c r="AI18" s="37" t="str">
        <f>IF($D18="","",VLOOKUP($D18,CTBat!$G$10:$BR$208,AI$1,FALSE))</f>
        <v/>
      </c>
      <c r="AJ18" s="37" t="str">
        <f>IF($D18="","",VLOOKUP($D18,CTBat!$G$10:$BR$208,AJ$1,FALSE))</f>
        <v/>
      </c>
      <c r="AK18" s="38" t="str">
        <f>IF($D18="","",VLOOKUP($D18,CTBat!$G$10:$BR$208,AK$1,FALSE))</f>
        <v/>
      </c>
      <c r="AL18" s="67" t="str">
        <f t="shared" si="47"/>
        <v/>
      </c>
      <c r="AM18" s="249" t="str">
        <f t="shared" si="34"/>
        <v/>
      </c>
      <c r="AN18" s="249" t="str">
        <f t="shared" si="35"/>
        <v/>
      </c>
      <c r="AO18" s="249" t="str">
        <f t="shared" si="36"/>
        <v/>
      </c>
      <c r="AP18" s="249" t="str">
        <f t="shared" si="37"/>
        <v/>
      </c>
      <c r="AQ18" s="249" t="str">
        <f t="shared" si="38"/>
        <v/>
      </c>
      <c r="AR18" s="249" t="str">
        <f t="shared" si="39"/>
        <v/>
      </c>
      <c r="AS18" s="249" t="str">
        <f t="shared" si="40"/>
        <v/>
      </c>
      <c r="AT18" s="249" t="str">
        <f t="shared" si="41"/>
        <v/>
      </c>
      <c r="AU18" s="249" t="str">
        <f t="shared" si="42"/>
        <v/>
      </c>
      <c r="AV18" s="58" t="str">
        <f>IF($D18="","",VLOOKUP($D18,CTBat!$G$10:$BR$208,AV$1,FALSE))</f>
        <v/>
      </c>
      <c r="AW18" s="37" t="str">
        <f>IF($D18="","",VLOOKUP($D18,CTBat!$G$10:$BR$208,AW$1,FALSE))</f>
        <v/>
      </c>
      <c r="AX18" s="37" t="str">
        <f>IF($D18="","",VLOOKUP($D18,CTBat!$G$10:$BR$208,AX$1,FALSE))</f>
        <v/>
      </c>
      <c r="AY18" s="37" t="str">
        <f>IF($D18="","",VLOOKUP($D18,CTBat!$G$10:$BR$208,AY$1,FALSE))</f>
        <v/>
      </c>
      <c r="AZ18" s="38" t="str">
        <f>IF($D18="","",VLOOKUP($D18,CTBat!$G$10:$BR$208,AZ$1,FALSE))</f>
        <v/>
      </c>
      <c r="BA18" s="67" t="str">
        <f t="shared" si="43"/>
        <v/>
      </c>
    </row>
    <row r="19" spans="1:53">
      <c r="A19">
        <v>6</v>
      </c>
      <c r="B19" s="264"/>
      <c r="C19" s="39" t="s">
        <v>104</v>
      </c>
      <c r="D19" s="40"/>
      <c r="E19" s="40" t="str">
        <f>IF($D19="","",VLOOKUP($D19,CTBat!$G$10:$BR$208,E$1,FALSE))</f>
        <v/>
      </c>
      <c r="F19" s="40" t="str">
        <f>IF($D19="","",VLOOKUP($D19,CTBat!$G$10:$BR$208,F$1,FALSE))</f>
        <v/>
      </c>
      <c r="G19" s="54" t="str">
        <f t="shared" si="44"/>
        <v/>
      </c>
      <c r="H19" s="247" t="str">
        <f>IF($D19="","",IF(R19&lt;&gt;"-",1,0))</f>
        <v/>
      </c>
      <c r="I19" s="247" t="str">
        <f t="shared" si="48"/>
        <v/>
      </c>
      <c r="J19" s="248" t="str">
        <f t="shared" si="45"/>
        <v/>
      </c>
      <c r="K19" s="40" t="str">
        <f>IF($D19="","",VLOOKUP($D19,CTBat!$G$10:$BR$208,K$1,FALSE))</f>
        <v/>
      </c>
      <c r="L19" s="40" t="str">
        <f>IF($D19="","",VLOOKUP($D19,CTBat!$G$10:$BR$208,L$1,FALSE))</f>
        <v/>
      </c>
      <c r="M19" s="40" t="str">
        <f>IF($D19="","",VLOOKUP($D19,CTBat!$G$10:$BR$208,M$1,FALSE))</f>
        <v/>
      </c>
      <c r="N19" s="59" t="str">
        <f>IF($D19="","",VLOOKUP($D19,CTBat!$G$10:$BR$208,N$1,FALSE))</f>
        <v/>
      </c>
      <c r="O19" s="40" t="str">
        <f>IF($D19="","",VLOOKUP($D19,CTBat!$G$10:$BR$208,O$1,FALSE))</f>
        <v/>
      </c>
      <c r="P19" s="40" t="str">
        <f>IF($D19="","",VLOOKUP($D19,CTBat!$G$10:$BR$208,P$1,FALSE))</f>
        <v/>
      </c>
      <c r="Q19" s="40" t="str">
        <f>IF($D19="","",VLOOKUP($D19,CTBat!$G$10:$BR$208,Q$1,FALSE))</f>
        <v/>
      </c>
      <c r="R19" s="40" t="str">
        <f>IF($D19="","",VLOOKUP($D19,CTBat!$G$10:$BR$208,R$1,FALSE))</f>
        <v/>
      </c>
      <c r="S19" s="40" t="str">
        <f>IF($D19="","",VLOOKUP($D19,CTBat!$G$10:$BR$208,S$1,FALSE))</f>
        <v/>
      </c>
      <c r="T19" s="40" t="str">
        <f>IF($D19="","",VLOOKUP($D19,CTBat!$G$10:$BR$208,T$1,FALSE))</f>
        <v/>
      </c>
      <c r="U19" s="42" t="str">
        <f>IF($D19="","",VLOOKUP($D19,CTBat!$G$10:$BR$208,U$1,FALSE))</f>
        <v/>
      </c>
      <c r="V19" s="247" t="str">
        <f t="shared" si="49"/>
        <v/>
      </c>
      <c r="W19" s="247" t="str">
        <f t="shared" si="27"/>
        <v/>
      </c>
      <c r="X19" s="247" t="str">
        <f t="shared" si="46"/>
        <v/>
      </c>
      <c r="Y19" s="247" t="str">
        <f t="shared" si="28"/>
        <v/>
      </c>
      <c r="Z19" s="247" t="str">
        <f t="shared" si="29"/>
        <v/>
      </c>
      <c r="AA19" s="247" t="str">
        <f t="shared" si="30"/>
        <v/>
      </c>
      <c r="AB19" s="247" t="str">
        <f t="shared" si="31"/>
        <v/>
      </c>
      <c r="AC19" s="247" t="str">
        <f t="shared" si="32"/>
        <v/>
      </c>
      <c r="AD19" s="247" t="str">
        <f t="shared" si="33"/>
        <v/>
      </c>
      <c r="AE19" s="59" t="str">
        <f>IF($D19="","",VLOOKUP($D19,CTBat!$G$10:$BR$208,AE$1,FALSE))</f>
        <v/>
      </c>
      <c r="AF19" s="40" t="str">
        <f>IF($D19="","",VLOOKUP($D19,CTBat!$G$10:$BR$208,AF$1,FALSE))</f>
        <v/>
      </c>
      <c r="AG19" s="40" t="str">
        <f>IF($D19="","",VLOOKUP($D19,CTBat!$G$10:$BR$208,AG$1,FALSE))</f>
        <v/>
      </c>
      <c r="AH19" s="40" t="str">
        <f>IF($D19="","",VLOOKUP($D19,CTBat!$G$10:$BR$208,AH$1,FALSE))</f>
        <v/>
      </c>
      <c r="AI19" s="40" t="str">
        <f>IF($D19="","",VLOOKUP($D19,CTBat!$G$10:$BR$208,AI$1,FALSE))</f>
        <v/>
      </c>
      <c r="AJ19" s="40" t="str">
        <f>IF($D19="","",VLOOKUP($D19,CTBat!$G$10:$BR$208,AJ$1,FALSE))</f>
        <v/>
      </c>
      <c r="AK19" s="42" t="str">
        <f>IF($D19="","",VLOOKUP($D19,CTBat!$G$10:$BR$208,AK$1,FALSE))</f>
        <v/>
      </c>
      <c r="AL19" s="68" t="str">
        <f t="shared" si="47"/>
        <v/>
      </c>
      <c r="AM19" s="247" t="str">
        <f t="shared" si="34"/>
        <v/>
      </c>
      <c r="AN19" s="247" t="str">
        <f t="shared" si="35"/>
        <v/>
      </c>
      <c r="AO19" s="247" t="str">
        <f t="shared" si="36"/>
        <v/>
      </c>
      <c r="AP19" s="247" t="str">
        <f t="shared" si="37"/>
        <v/>
      </c>
      <c r="AQ19" s="247" t="str">
        <f t="shared" si="38"/>
        <v/>
      </c>
      <c r="AR19" s="247" t="str">
        <f t="shared" si="39"/>
        <v/>
      </c>
      <c r="AS19" s="247" t="str">
        <f t="shared" si="40"/>
        <v/>
      </c>
      <c r="AT19" s="247" t="str">
        <f t="shared" si="41"/>
        <v/>
      </c>
      <c r="AU19" s="247" t="str">
        <f t="shared" si="42"/>
        <v/>
      </c>
      <c r="AV19" s="59" t="str">
        <f>IF($D19="","",VLOOKUP($D19,CTBat!$G$10:$BR$208,AV$1,FALSE))</f>
        <v/>
      </c>
      <c r="AW19" s="40" t="str">
        <f>IF($D19="","",VLOOKUP($D19,CTBat!$G$10:$BR$208,AW$1,FALSE))</f>
        <v/>
      </c>
      <c r="AX19" s="40" t="str">
        <f>IF($D19="","",VLOOKUP($D19,CTBat!$G$10:$BR$208,AX$1,FALSE))</f>
        <v/>
      </c>
      <c r="AY19" s="40" t="str">
        <f>IF($D19="","",VLOOKUP($D19,CTBat!$G$10:$BR$208,AY$1,FALSE))</f>
        <v/>
      </c>
      <c r="AZ19" s="42" t="str">
        <f>IF($D19="","",VLOOKUP($D19,CTBat!$G$10:$BR$208,AZ$1,FALSE))</f>
        <v/>
      </c>
      <c r="BA19" s="68" t="str">
        <f t="shared" si="43"/>
        <v/>
      </c>
    </row>
    <row r="21" spans="1:53" ht="196.5">
      <c r="A21" s="25" t="s">
        <v>196</v>
      </c>
      <c r="B21" s="259" t="s">
        <v>520</v>
      </c>
      <c r="C21" s="244" t="s">
        <v>136</v>
      </c>
      <c r="D21" s="44" t="str">
        <f>"Player ("&amp;COUNTA(D22:D24)&amp;")"</f>
        <v>Player (1)</v>
      </c>
      <c r="E21" s="44" t="s">
        <v>94</v>
      </c>
      <c r="F21" s="44" t="s">
        <v>104</v>
      </c>
      <c r="G21" s="64" t="str">
        <f>"Strong C Arm ("&amp;SUM(G22:G24)&amp;")"</f>
        <v>Strong C Arm (1)</v>
      </c>
      <c r="H21" s="48" t="s">
        <v>41</v>
      </c>
      <c r="I21" s="48" t="s">
        <v>41</v>
      </c>
      <c r="J21" s="48" t="s">
        <v>41</v>
      </c>
      <c r="K21" s="55" t="s">
        <v>139</v>
      </c>
      <c r="L21" s="47" t="s">
        <v>137</v>
      </c>
      <c r="M21" s="56" t="s">
        <v>138</v>
      </c>
      <c r="N21" s="48" t="s">
        <v>95</v>
      </c>
      <c r="O21" s="48" t="s">
        <v>97</v>
      </c>
      <c r="P21" s="48" t="s">
        <v>98</v>
      </c>
      <c r="Q21" s="48" t="s">
        <v>99</v>
      </c>
      <c r="R21" s="48" t="s">
        <v>100</v>
      </c>
      <c r="S21" s="48" t="s">
        <v>101</v>
      </c>
      <c r="T21" s="48" t="s">
        <v>102</v>
      </c>
      <c r="U21" s="49" t="s">
        <v>103</v>
      </c>
      <c r="V21" s="45" t="s">
        <v>140</v>
      </c>
      <c r="W21" s="45" t="s">
        <v>184</v>
      </c>
      <c r="X21" s="45" t="s">
        <v>141</v>
      </c>
      <c r="Y21" s="45" t="s">
        <v>142</v>
      </c>
      <c r="Z21" s="45" t="s">
        <v>143</v>
      </c>
      <c r="AA21" s="45" t="s">
        <v>144</v>
      </c>
      <c r="AB21" s="45" t="s">
        <v>145</v>
      </c>
      <c r="AC21" s="45" t="s">
        <v>147</v>
      </c>
      <c r="AD21" s="60" t="s">
        <v>146</v>
      </c>
      <c r="AE21" s="48" t="s">
        <v>150</v>
      </c>
      <c r="AF21" s="48" t="s">
        <v>151</v>
      </c>
      <c r="AG21" s="48" t="s">
        <v>152</v>
      </c>
      <c r="AH21" s="48" t="s">
        <v>153</v>
      </c>
      <c r="AI21" s="48" t="s">
        <v>29</v>
      </c>
      <c r="AJ21" s="48" t="s">
        <v>154</v>
      </c>
      <c r="AK21" s="49" t="s">
        <v>155</v>
      </c>
      <c r="AL21" s="66" t="s">
        <v>160</v>
      </c>
      <c r="AM21" s="45" t="s">
        <v>140</v>
      </c>
      <c r="AN21" s="45" t="s">
        <v>184</v>
      </c>
      <c r="AO21" s="45" t="s">
        <v>141</v>
      </c>
      <c r="AP21" s="45" t="s">
        <v>142</v>
      </c>
      <c r="AQ21" s="45" t="s">
        <v>143</v>
      </c>
      <c r="AR21" s="45" t="s">
        <v>144</v>
      </c>
      <c r="AS21" s="45" t="s">
        <v>145</v>
      </c>
      <c r="AT21" s="45" t="s">
        <v>147</v>
      </c>
      <c r="AU21" s="60" t="s">
        <v>146</v>
      </c>
      <c r="AV21" s="63" t="s">
        <v>150</v>
      </c>
      <c r="AW21" s="48" t="s">
        <v>151</v>
      </c>
      <c r="AX21" s="48" t="s">
        <v>152</v>
      </c>
      <c r="AY21" s="48" t="s">
        <v>153</v>
      </c>
      <c r="AZ21" s="49" t="s">
        <v>29</v>
      </c>
      <c r="BA21" s="66" t="s">
        <v>201</v>
      </c>
    </row>
    <row r="22" spans="1:53">
      <c r="A22">
        <v>1</v>
      </c>
      <c r="B22" s="260"/>
      <c r="C22" s="36" t="s">
        <v>95</v>
      </c>
      <c r="D22" s="37"/>
      <c r="E22" s="37" t="str">
        <f>IF($D22="","",VLOOKUP($D22,CTBat!$G$10:$BR$208,E$1,FALSE))</f>
        <v/>
      </c>
      <c r="F22" s="37" t="str">
        <f>IF($D22="","",VLOOKUP($D22,CTBat!$G$10:$BR$208,F$1,FALSE))</f>
        <v/>
      </c>
      <c r="G22" s="53" t="str">
        <f>IF($D22="","",IF(K22&gt;5,1,0))</f>
        <v/>
      </c>
      <c r="H22" s="249" t="str">
        <f t="shared" ref="H22:I24" si="50">IF($D22="","","-")</f>
        <v/>
      </c>
      <c r="I22" s="249" t="str">
        <f t="shared" si="50"/>
        <v/>
      </c>
      <c r="J22" s="249" t="str">
        <f>IF($D22="","","-")</f>
        <v/>
      </c>
      <c r="K22" s="58" t="str">
        <f>IF($D22="","",VLOOKUP($D22,CTBat!$G$10:$BR$208,K$1,FALSE))</f>
        <v/>
      </c>
      <c r="L22" s="37" t="str">
        <f>IF($D22="","",VLOOKUP($D22,CTBat!$G$10:$BR$208,L$1,FALSE))</f>
        <v/>
      </c>
      <c r="M22" s="38" t="str">
        <f>IF($D22="","",VLOOKUP($D22,CTBat!$G$10:$BR$208,M$1,FALSE))</f>
        <v/>
      </c>
      <c r="N22" s="37" t="str">
        <f>IF($D22="","",VLOOKUP($D22,CTBat!$G$10:$BR$208,N$1,FALSE))</f>
        <v/>
      </c>
      <c r="O22" s="37" t="str">
        <f>IF($D22="","",VLOOKUP($D22,CTBat!$G$10:$BR$208,O$1,FALSE))</f>
        <v/>
      </c>
      <c r="P22" s="37" t="str">
        <f>IF($D22="","",VLOOKUP($D22,CTBat!$G$10:$BR$208,P$1,FALSE))</f>
        <v/>
      </c>
      <c r="Q22" s="37" t="str">
        <f>IF($D22="","",VLOOKUP($D22,CTBat!$G$10:$BR$208,Q$1,FALSE))</f>
        <v/>
      </c>
      <c r="R22" s="37" t="str">
        <f>IF($D22="","",VLOOKUP($D22,CTBat!$G$10:$BR$208,R$1,FALSE))</f>
        <v/>
      </c>
      <c r="S22" s="37" t="str">
        <f>IF($D22="","",VLOOKUP($D22,CTBat!$G$10:$BR$208,S$1,FALSE))</f>
        <v/>
      </c>
      <c r="T22" s="37" t="str">
        <f>IF($D22="","",VLOOKUP($D22,CTBat!$G$10:$BR$208,T$1,FALSE))</f>
        <v/>
      </c>
      <c r="U22" s="38" t="str">
        <f>IF($D22="","",VLOOKUP($D22,CTBat!$G$10:$BR$208,U$1,FALSE))</f>
        <v/>
      </c>
      <c r="V22" s="249" t="str">
        <f t="shared" ref="V22:V24" si="51">IF($D22="","",IF(OR(AE22+AH22&gt;14,AND(OR(AE22+AH22&gt;12,AND(AE22&gt;6,AH22&gt;6)),AJ22&gt;6,OR(AK22&gt;=AJ22,AK22&gt;6))),1,0))</f>
        <v/>
      </c>
      <c r="W22" s="249" t="str">
        <f t="shared" ref="W22:W24" si="52">IF($D22="","",IF(OR(AND(AE22&gt;6,AI22&gt;6),AE22+AH22&gt;12),1,0))</f>
        <v/>
      </c>
      <c r="X22" s="249" t="str">
        <f t="shared" ref="X22:X24" si="53">IF($D22="","",IF(AND(AE22&gt;6,AG22&gt;6,AH22&gt;6),1,0))</f>
        <v/>
      </c>
      <c r="Y22" s="249" t="str">
        <f t="shared" ref="Y22:Y24" si="54">IF($D22="","",IF(AND(AG22&gt;7,OR(AE22&gt;6,AH22&gt;6)),1,0))</f>
        <v/>
      </c>
      <c r="Z22" s="249" t="str">
        <f t="shared" ref="Z22:Z24" si="55">IF($D22="","",IF(AND(AG22&gt;6,OR(AE22&gt;6,AH22&gt;6)),1,0))</f>
        <v/>
      </c>
      <c r="AA22" s="249" t="str">
        <f t="shared" ref="AA22:AA24" si="56">IF($D22="","",IF(AND(OR(AE22&gt;6,AG22&gt;6),OR(AE22&gt;6,AH22&gt;6)),1,0))</f>
        <v/>
      </c>
      <c r="AB22" s="249" t="str">
        <f t="shared" ref="AB22:AB24" si="57">IF($D22="","",IF(AND(AE22&gt;4,OR(AE22&gt;6,AG22&gt;6,AH22&gt;6)),1,0))</f>
        <v/>
      </c>
      <c r="AC22" s="249" t="str">
        <f t="shared" ref="AC22:AC24" si="58">IF($D22="","",IF(AND(AE22&gt;4,OR(AE22&gt;6,AF22&gt;6,AG22&gt;6,AH22&gt;6)),1,0))</f>
        <v/>
      </c>
      <c r="AD22" s="250" t="str">
        <f t="shared" ref="AD22:AD24" si="59">IF($D22="","",IF(AND(AE22&gt;4,MAX(AE22:AI22)&gt;6),1,0))</f>
        <v/>
      </c>
      <c r="AE22" s="37" t="str">
        <f>IF($D22="","",VLOOKUP($D22,CTBat!$G$10:$BR$208,AE$1,FALSE))</f>
        <v/>
      </c>
      <c r="AF22" s="37" t="str">
        <f>IF($D22="","",VLOOKUP($D22,CTBat!$G$10:$BR$208,AF$1,FALSE))</f>
        <v/>
      </c>
      <c r="AG22" s="37" t="str">
        <f>IF($D22="","",VLOOKUP($D22,CTBat!$G$10:$BR$208,AG$1,FALSE))</f>
        <v/>
      </c>
      <c r="AH22" s="37" t="str">
        <f>IF($D22="","",VLOOKUP($D22,CTBat!$G$10:$BR$208,AH$1,FALSE))</f>
        <v/>
      </c>
      <c r="AI22" s="37" t="str">
        <f>IF($D22="","",VLOOKUP($D22,CTBat!$G$10:$BR$208,AI$1,FALSE))</f>
        <v/>
      </c>
      <c r="AJ22" s="37" t="str">
        <f>IF($D22="","",VLOOKUP($D22,CTBat!$G$10:$BR$208,AJ$1,FALSE))</f>
        <v/>
      </c>
      <c r="AK22" s="38" t="str">
        <f>IF($D22="","",VLOOKUP($D22,CTBat!$G$10:$BR$208,AK$1,FALSE))</f>
        <v/>
      </c>
      <c r="AL22" s="67" t="str">
        <f>IF($D22="","",(5*AE22+4*AG22+3*AH22+2*AF22+1*AI22+0.5*(AVERAGE(AE22:AF22))+0.5*AVERAGE(AE22,AI22)+1*(AVERAGE(AE22,AG22))+1*AVERAGE(AE22,AH22))/(5+4+3+2+1+0.5+0.5+1+1))</f>
        <v/>
      </c>
      <c r="AM22" s="249" t="str">
        <f t="shared" ref="AM22:AM24" si="60">IF($D22="","",IF(AND(OR(AV22+AY22&gt;12,AND(AV22&gt;6,AY22&gt;6)),AJ22&gt;6,OR(AK22&gt;=AJ22,AK22&gt;6)),1,0))</f>
        <v/>
      </c>
      <c r="AN22" s="249" t="str">
        <f t="shared" ref="AN22:AN24" si="61">IF($D22="","",IF(OR(AND(AV22&gt;6,AZ22&gt;6),AV22+AY22&gt;12),1,0))</f>
        <v/>
      </c>
      <c r="AO22" s="249" t="str">
        <f t="shared" ref="AO22:AO24" si="62">IF($D22="","",IF(AND(AV22&gt;6,AX22&gt;6,AY22&gt;6),1,0))</f>
        <v/>
      </c>
      <c r="AP22" s="249" t="str">
        <f t="shared" ref="AP22:AP24" si="63">IF($D22="","",IF(AND(AX22&gt;7,OR(AV22&gt;6,AY22&gt;6)),1,0))</f>
        <v/>
      </c>
      <c r="AQ22" s="249" t="str">
        <f t="shared" ref="AQ22:AQ24" si="64">IF($D22="","",IF(AND(AX22&gt;6,OR(AV22&gt;6,AY22&gt;6)),1,0))</f>
        <v/>
      </c>
      <c r="AR22" s="249" t="str">
        <f t="shared" ref="AR22:AR24" si="65">IF($D22="","",IF(AND(OR(AV22&gt;6,AX22&gt;6),OR(AV22&gt;6,AY22&gt;6)),1,0))</f>
        <v/>
      </c>
      <c r="AS22" s="249" t="str">
        <f t="shared" ref="AS22:AS24" si="66">IF($D22="","",IF(AND(AV22&gt;4,OR(AV22&gt;6,AX22&gt;6,AY22&gt;6)),1,0))</f>
        <v/>
      </c>
      <c r="AT22" s="249" t="str">
        <f t="shared" ref="AT22:AT24" si="67">IF($D22="","",IF(AND(AV22&gt;4,OR(AV22&gt;6,AW22&gt;6,AX22&gt;6,AY22&gt;6)),1,0))</f>
        <v/>
      </c>
      <c r="AU22" s="250" t="str">
        <f t="shared" ref="AU22:AU24" si="68">IF($D22="","",IF(AND(AV22&gt;4,MAX(AV22:AZ22)&gt;6),1,0))</f>
        <v/>
      </c>
      <c r="AV22" s="58" t="str">
        <f>IF($D22="","",VLOOKUP($D22,CTBat!$G$10:$BR$208,AV$1,FALSE))</f>
        <v/>
      </c>
      <c r="AW22" s="37" t="str">
        <f>IF($D22="","",VLOOKUP($D22,CTBat!$G$10:$BR$208,AW$1,FALSE))</f>
        <v/>
      </c>
      <c r="AX22" s="37" t="str">
        <f>IF($D22="","",VLOOKUP($D22,CTBat!$G$10:$BR$208,AX$1,FALSE))</f>
        <v/>
      </c>
      <c r="AY22" s="37" t="str">
        <f>IF($D22="","",VLOOKUP($D22,CTBat!$G$10:$BR$208,AY$1,FALSE))</f>
        <v/>
      </c>
      <c r="AZ22" s="38" t="str">
        <f>IF($D22="","",VLOOKUP($D22,CTBat!$G$10:$BR$208,AZ$1,FALSE))</f>
        <v/>
      </c>
      <c r="BA22" s="67" t="str">
        <f t="shared" ref="BA22:BA24" si="69">IF($D22="","",(5*AV22+4*AX22+3*AY22+2*AW22+1*AZ22+0.5*(AVERAGE(AV22:AW22))+0.5*AVERAGE(AV22,AZ22)+1*(AVERAGE(AV22,AX22))+1*AVERAGE(AV22,AY22))/(5+4+3+2+1+0.5+0.5+1+1))</f>
        <v/>
      </c>
    </row>
    <row r="23" spans="1:53">
      <c r="A23">
        <v>2</v>
      </c>
      <c r="B23" s="260"/>
      <c r="C23" s="36" t="s">
        <v>104</v>
      </c>
      <c r="D23" s="37" t="s">
        <v>525</v>
      </c>
      <c r="E23" s="37">
        <f>IF($D23="","",VLOOKUP($D23,CTBat!$G$10:$BR$208,E$1,FALSE))</f>
        <v>26</v>
      </c>
      <c r="F23" s="37" t="str">
        <f>IF($D23="","",VLOOKUP($D23,CTBat!$G$10:$BR$208,F$1,FALSE))</f>
        <v>R</v>
      </c>
      <c r="G23" s="53">
        <f>IF($D23="","",IF(K23&gt;5,1,0))</f>
        <v>1</v>
      </c>
      <c r="H23" s="249" t="str">
        <f t="shared" si="50"/>
        <v>-</v>
      </c>
      <c r="I23" s="249" t="str">
        <f t="shared" si="50"/>
        <v>-</v>
      </c>
      <c r="J23" s="249" t="str">
        <f>IF($D23="","","-")</f>
        <v>-</v>
      </c>
      <c r="K23" s="58">
        <f>IF($D23="","",VLOOKUP($D23,CTBat!$G$10:$BR$208,K$1,FALSE))</f>
        <v>7</v>
      </c>
      <c r="L23" s="37">
        <f>IF($D23="","",VLOOKUP($D23,CTBat!$G$10:$BR$208,L$1,FALSE))</f>
        <v>4</v>
      </c>
      <c r="M23" s="38">
        <f>IF($D23="","",VLOOKUP($D23,CTBat!$G$10:$BR$208,M$1,FALSE))</f>
        <v>5</v>
      </c>
      <c r="N23" s="37">
        <f>IF($D23="","",VLOOKUP($D23,CTBat!$G$10:$BR$208,N$1,FALSE))</f>
        <v>8</v>
      </c>
      <c r="O23" s="37" t="str">
        <f>IF($D23="","",VLOOKUP($D23,CTBat!$G$10:$BR$208,O$1,FALSE))</f>
        <v>-</v>
      </c>
      <c r="P23" s="37" t="str">
        <f>IF($D23="","",VLOOKUP($D23,CTBat!$G$10:$BR$208,P$1,FALSE))</f>
        <v>-</v>
      </c>
      <c r="Q23" s="37" t="str">
        <f>IF($D23="","",VLOOKUP($D23,CTBat!$G$10:$BR$208,Q$1,FALSE))</f>
        <v>-</v>
      </c>
      <c r="R23" s="37" t="str">
        <f>IF($D23="","",VLOOKUP($D23,CTBat!$G$10:$BR$208,R$1,FALSE))</f>
        <v>-</v>
      </c>
      <c r="S23" s="37" t="str">
        <f>IF($D23="","",VLOOKUP($D23,CTBat!$G$10:$BR$208,S$1,FALSE))</f>
        <v>-</v>
      </c>
      <c r="T23" s="37" t="str">
        <f>IF($D23="","",VLOOKUP($D23,CTBat!$G$10:$BR$208,T$1,FALSE))</f>
        <v>-</v>
      </c>
      <c r="U23" s="38" t="str">
        <f>IF($D23="","",VLOOKUP($D23,CTBat!$G$10:$BR$208,U$1,FALSE))</f>
        <v>-</v>
      </c>
      <c r="V23" s="249">
        <f t="shared" si="51"/>
        <v>0</v>
      </c>
      <c r="W23" s="249">
        <f t="shared" si="52"/>
        <v>1</v>
      </c>
      <c r="X23" s="249">
        <f t="shared" si="53"/>
        <v>0</v>
      </c>
      <c r="Y23" s="249">
        <f t="shared" si="54"/>
        <v>0</v>
      </c>
      <c r="Z23" s="249">
        <f t="shared" si="55"/>
        <v>0</v>
      </c>
      <c r="AA23" s="249">
        <f t="shared" si="56"/>
        <v>0</v>
      </c>
      <c r="AB23" s="249">
        <f t="shared" si="57"/>
        <v>1</v>
      </c>
      <c r="AC23" s="249">
        <f t="shared" si="58"/>
        <v>1</v>
      </c>
      <c r="AD23" s="250">
        <f t="shared" si="59"/>
        <v>1</v>
      </c>
      <c r="AE23" s="37">
        <f>IF($D23="","",VLOOKUP($D23,CTBat!$G$10:$BR$208,AE$1,FALSE))</f>
        <v>6</v>
      </c>
      <c r="AF23" s="37">
        <f>IF($D23="","",VLOOKUP($D23,CTBat!$G$10:$BR$208,AF$1,FALSE))</f>
        <v>6</v>
      </c>
      <c r="AG23" s="37">
        <f>IF($D23="","",VLOOKUP($D23,CTBat!$G$10:$BR$208,AG$1,FALSE))</f>
        <v>6</v>
      </c>
      <c r="AH23" s="37">
        <f>IF($D23="","",VLOOKUP($D23,CTBat!$G$10:$BR$208,AH$1,FALSE))</f>
        <v>7</v>
      </c>
      <c r="AI23" s="37">
        <f>IF($D23="","",VLOOKUP($D23,CTBat!$G$10:$BR$208,AI$1,FALSE))</f>
        <v>6</v>
      </c>
      <c r="AJ23" s="37">
        <f>IF($D23="","",VLOOKUP($D23,CTBat!$G$10:$BR$208,AJ$1,FALSE))</f>
        <v>1</v>
      </c>
      <c r="AK23" s="38">
        <f>IF($D23="","",VLOOKUP($D23,CTBat!$G$10:$BR$208,AK$1,FALSE))</f>
        <v>1</v>
      </c>
      <c r="AL23" s="67">
        <f t="shared" ref="AL23:AL24" si="70">IF($D23="","",(5*AE23+4*AG23+3*AH23+2*AF23+1*AI23+0.5*(AVERAGE(AE23:AF23))+0.5*AVERAGE(AE23,AI23)+1*(AVERAGE(AE23,AG23))+1*AVERAGE(AE23,AH23))/(5+4+3+2+1+0.5+0.5+1+1))</f>
        <v>6.1944444444444446</v>
      </c>
      <c r="AM23" s="249">
        <f t="shared" si="60"/>
        <v>0</v>
      </c>
      <c r="AN23" s="249">
        <f t="shared" si="61"/>
        <v>1</v>
      </c>
      <c r="AO23" s="249">
        <f t="shared" si="62"/>
        <v>0</v>
      </c>
      <c r="AP23" s="249">
        <f t="shared" si="63"/>
        <v>0</v>
      </c>
      <c r="AQ23" s="249">
        <f t="shared" si="64"/>
        <v>0</v>
      </c>
      <c r="AR23" s="249">
        <f t="shared" si="65"/>
        <v>0</v>
      </c>
      <c r="AS23" s="249">
        <f t="shared" si="66"/>
        <v>1</v>
      </c>
      <c r="AT23" s="249">
        <f t="shared" si="67"/>
        <v>1</v>
      </c>
      <c r="AU23" s="250">
        <f t="shared" si="68"/>
        <v>1</v>
      </c>
      <c r="AV23" s="58">
        <f>IF($D23="","",VLOOKUP($D23,CTBat!$G$10:$BR$208,AV$1,FALSE))</f>
        <v>6</v>
      </c>
      <c r="AW23" s="37">
        <f>IF($D23="","",VLOOKUP($D23,CTBat!$G$10:$BR$208,AW$1,FALSE))</f>
        <v>6</v>
      </c>
      <c r="AX23" s="37">
        <f>IF($D23="","",VLOOKUP($D23,CTBat!$G$10:$BR$208,AX$1,FALSE))</f>
        <v>6</v>
      </c>
      <c r="AY23" s="37">
        <f>IF($D23="","",VLOOKUP($D23,CTBat!$G$10:$BR$208,AY$1,FALSE))</f>
        <v>7</v>
      </c>
      <c r="AZ23" s="38">
        <f>IF($D23="","",VLOOKUP($D23,CTBat!$G$10:$BR$208,AZ$1,FALSE))</f>
        <v>6</v>
      </c>
      <c r="BA23" s="67">
        <f t="shared" si="69"/>
        <v>6.1944444444444446</v>
      </c>
    </row>
    <row r="24" spans="1:53">
      <c r="A24">
        <v>3</v>
      </c>
      <c r="B24" s="261"/>
      <c r="C24" s="39" t="s">
        <v>104</v>
      </c>
      <c r="D24" s="40"/>
      <c r="E24" s="40" t="str">
        <f>IF($D24="","",VLOOKUP($D24,CTBat!$G$10:$BR$208,E$1,FALSE))</f>
        <v/>
      </c>
      <c r="F24" s="40" t="str">
        <f>IF($D24="","",VLOOKUP($D24,CTBat!$G$10:$BR$208,F$1,FALSE))</f>
        <v/>
      </c>
      <c r="G24" s="54" t="str">
        <f>IF($D24="","",IF(K24&gt;5,1,0))</f>
        <v/>
      </c>
      <c r="H24" s="247" t="str">
        <f t="shared" si="50"/>
        <v/>
      </c>
      <c r="I24" s="247" t="str">
        <f t="shared" si="50"/>
        <v/>
      </c>
      <c r="J24" s="247" t="str">
        <f>IF($D24="","","-")</f>
        <v/>
      </c>
      <c r="K24" s="59" t="str">
        <f>IF($D24="","",VLOOKUP($D24,CTBat!$G$10:$BR$208,K$1,FALSE))</f>
        <v/>
      </c>
      <c r="L24" s="40" t="str">
        <f>IF($D24="","",VLOOKUP($D24,CTBat!$G$10:$BR$208,L$1,FALSE))</f>
        <v/>
      </c>
      <c r="M24" s="42" t="str">
        <f>IF($D24="","",VLOOKUP($D24,CTBat!$G$10:$BR$208,M$1,FALSE))</f>
        <v/>
      </c>
      <c r="N24" s="40" t="str">
        <f>IF($D24="","",VLOOKUP($D24,CTBat!$G$10:$BR$208,N$1,FALSE))</f>
        <v/>
      </c>
      <c r="O24" s="40" t="str">
        <f>IF($D24="","",VLOOKUP($D24,CTBat!$G$10:$BR$208,O$1,FALSE))</f>
        <v/>
      </c>
      <c r="P24" s="40" t="str">
        <f>IF($D24="","",VLOOKUP($D24,CTBat!$G$10:$BR$208,P$1,FALSE))</f>
        <v/>
      </c>
      <c r="Q24" s="40" t="str">
        <f>IF($D24="","",VLOOKUP($D24,CTBat!$G$10:$BR$208,Q$1,FALSE))</f>
        <v/>
      </c>
      <c r="R24" s="40" t="str">
        <f>IF($D24="","",VLOOKUP($D24,CTBat!$G$10:$BR$208,R$1,FALSE))</f>
        <v/>
      </c>
      <c r="S24" s="40" t="str">
        <f>IF($D24="","",VLOOKUP($D24,CTBat!$G$10:$BR$208,S$1,FALSE))</f>
        <v/>
      </c>
      <c r="T24" s="40" t="str">
        <f>IF($D24="","",VLOOKUP($D24,CTBat!$G$10:$BR$208,T$1,FALSE))</f>
        <v/>
      </c>
      <c r="U24" s="42" t="str">
        <f>IF($D24="","",VLOOKUP($D24,CTBat!$G$10:$BR$208,U$1,FALSE))</f>
        <v/>
      </c>
      <c r="V24" s="247" t="str">
        <f t="shared" si="51"/>
        <v/>
      </c>
      <c r="W24" s="247" t="str">
        <f t="shared" si="52"/>
        <v/>
      </c>
      <c r="X24" s="247" t="str">
        <f t="shared" si="53"/>
        <v/>
      </c>
      <c r="Y24" s="247" t="str">
        <f t="shared" si="54"/>
        <v/>
      </c>
      <c r="Z24" s="247" t="str">
        <f t="shared" si="55"/>
        <v/>
      </c>
      <c r="AA24" s="247" t="str">
        <f t="shared" si="56"/>
        <v/>
      </c>
      <c r="AB24" s="247" t="str">
        <f t="shared" si="57"/>
        <v/>
      </c>
      <c r="AC24" s="247" t="str">
        <f t="shared" si="58"/>
        <v/>
      </c>
      <c r="AD24" s="248" t="str">
        <f t="shared" si="59"/>
        <v/>
      </c>
      <c r="AE24" s="40" t="str">
        <f>IF($D24="","",VLOOKUP($D24,CTBat!$G$10:$BR$208,AE$1,FALSE))</f>
        <v/>
      </c>
      <c r="AF24" s="40" t="str">
        <f>IF($D24="","",VLOOKUP($D24,CTBat!$G$10:$BR$208,AF$1,FALSE))</f>
        <v/>
      </c>
      <c r="AG24" s="40" t="str">
        <f>IF($D24="","",VLOOKUP($D24,CTBat!$G$10:$BR$208,AG$1,FALSE))</f>
        <v/>
      </c>
      <c r="AH24" s="40" t="str">
        <f>IF($D24="","",VLOOKUP($D24,CTBat!$G$10:$BR$208,AH$1,FALSE))</f>
        <v/>
      </c>
      <c r="AI24" s="40" t="str">
        <f>IF($D24="","",VLOOKUP($D24,CTBat!$G$10:$BR$208,AI$1,FALSE))</f>
        <v/>
      </c>
      <c r="AJ24" s="40" t="str">
        <f>IF($D24="","",VLOOKUP($D24,CTBat!$G$10:$BR$208,AJ$1,FALSE))</f>
        <v/>
      </c>
      <c r="AK24" s="42" t="str">
        <f>IF($D24="","",VLOOKUP($D24,CTBat!$G$10:$BR$208,AK$1,FALSE))</f>
        <v/>
      </c>
      <c r="AL24" s="68" t="str">
        <f t="shared" si="70"/>
        <v/>
      </c>
      <c r="AM24" s="247" t="str">
        <f t="shared" si="60"/>
        <v/>
      </c>
      <c r="AN24" s="247" t="str">
        <f t="shared" si="61"/>
        <v/>
      </c>
      <c r="AO24" s="247" t="str">
        <f t="shared" si="62"/>
        <v/>
      </c>
      <c r="AP24" s="247" t="str">
        <f t="shared" si="63"/>
        <v/>
      </c>
      <c r="AQ24" s="247" t="str">
        <f t="shared" si="64"/>
        <v/>
      </c>
      <c r="AR24" s="247" t="str">
        <f t="shared" si="65"/>
        <v/>
      </c>
      <c r="AS24" s="247" t="str">
        <f t="shared" si="66"/>
        <v/>
      </c>
      <c r="AT24" s="247" t="str">
        <f t="shared" si="67"/>
        <v/>
      </c>
      <c r="AU24" s="248" t="str">
        <f t="shared" si="68"/>
        <v/>
      </c>
      <c r="AV24" s="59" t="str">
        <f>IF($D24="","",VLOOKUP($D24,CTBat!$G$10:$BR$208,AV$1,FALSE))</f>
        <v/>
      </c>
      <c r="AW24" s="40" t="str">
        <f>IF($D24="","",VLOOKUP($D24,CTBat!$G$10:$BR$208,AW$1,FALSE))</f>
        <v/>
      </c>
      <c r="AX24" s="40" t="str">
        <f>IF($D24="","",VLOOKUP($D24,CTBat!$G$10:$BR$208,AX$1,FALSE))</f>
        <v/>
      </c>
      <c r="AY24" s="40" t="str">
        <f>IF($D24="","",VLOOKUP($D24,CTBat!$G$10:$BR$208,AY$1,FALSE))</f>
        <v/>
      </c>
      <c r="AZ24" s="42" t="str">
        <f>IF($D24="","",VLOOKUP($D24,CTBat!$G$10:$BR$208,AZ$1,FALSE))</f>
        <v/>
      </c>
      <c r="BA24" s="68" t="str">
        <f t="shared" si="69"/>
        <v/>
      </c>
    </row>
    <row r="26" spans="1:53" s="1" customFormat="1">
      <c r="B26" s="262"/>
      <c r="C26" s="244" t="s">
        <v>158</v>
      </c>
      <c r="D26" s="44" t="s">
        <v>121</v>
      </c>
      <c r="E26" s="44" t="s">
        <v>122</v>
      </c>
      <c r="F26" s="50" t="s">
        <v>104</v>
      </c>
      <c r="G26" s="245" t="s">
        <v>159</v>
      </c>
      <c r="H26" s="245" t="s">
        <v>163</v>
      </c>
      <c r="I26" s="246" t="s">
        <v>161</v>
      </c>
      <c r="J26" s="88" t="s">
        <v>185</v>
      </c>
      <c r="K26" s="244" t="s">
        <v>95</v>
      </c>
      <c r="L26" s="245" t="s">
        <v>148</v>
      </c>
      <c r="M26" s="245" t="s">
        <v>149</v>
      </c>
      <c r="N26" s="245" t="s">
        <v>208</v>
      </c>
      <c r="O26" s="245" t="s">
        <v>96</v>
      </c>
      <c r="P26" s="244" t="s">
        <v>209</v>
      </c>
      <c r="Q26" s="246" t="s">
        <v>210</v>
      </c>
      <c r="R26" s="244" t="s">
        <v>218</v>
      </c>
      <c r="S26" s="87" t="s">
        <v>236</v>
      </c>
      <c r="U26" s="244" t="s">
        <v>122</v>
      </c>
      <c r="V26" s="244" t="s">
        <v>219</v>
      </c>
      <c r="W26" s="246" t="s">
        <v>243</v>
      </c>
      <c r="X26" s="245" t="s">
        <v>218</v>
      </c>
      <c r="Y26" s="246" t="s">
        <v>236</v>
      </c>
      <c r="AA26" s="1" t="s">
        <v>477</v>
      </c>
      <c r="AH26" s="290" t="s">
        <v>519</v>
      </c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2"/>
    </row>
    <row r="27" spans="1:53">
      <c r="B27" s="262"/>
      <c r="C27" s="36">
        <v>1</v>
      </c>
      <c r="D27" s="57" t="s">
        <v>395</v>
      </c>
      <c r="E27" s="33" t="s">
        <v>103</v>
      </c>
      <c r="F27" s="38" t="str">
        <f t="shared" ref="F27" si="71">IF($D27="","",VLOOKUP($D27,$D$3:$AL$24,$F$1-2,FALSE))</f>
        <v>L</v>
      </c>
      <c r="G27" s="249">
        <f t="shared" ref="G27:G35" si="72">IF($D27="","",VLOOKUP($D27,$D$3:$AL$24,18+$C27,FALSE))</f>
        <v>1</v>
      </c>
      <c r="H27" s="249">
        <f>IF($D27="","",IF(VLOOKUP($D27,$D$3:$AL$24,18+3,FALSE)=1,3,IF(VLOOKUP($D27,$D$3:$AL$24,18+4,FALSE)=1,4,IF(VLOOKUP($D27,$D$3:$AL$24,18+1,FALSE)=1,1,IF(VLOOKUP($D27,$D$3:$AL$24,18+5,FALSE)=1,5,IF(VLOOKUP($D27,$D$3:$AL$24,18+2,FALSE)=1,2,IF(VLOOKUP($D27,$D$3:$AL$24,18+6,FALSE)=1,6,IF(VLOOKUP($D27,$D$3:$AL$24,18+7,FALSE)=1,7,IF(VLOOKUP($D27,$D$3:$AL$24,18+8,FALSE)=1,8,9)))))))))</f>
        <v>1</v>
      </c>
      <c r="I27" s="8">
        <f>IF($D27="","",VLOOKUP($D27,$D$3:$AL$24,35,FALSE))</f>
        <v>7.208333333333333</v>
      </c>
      <c r="J27" s="89">
        <v>3</v>
      </c>
      <c r="K27" s="53">
        <f>IF($D27="","",VLOOKUP($D27,$D$3:$BA$24,34+AE$1,FALSE))</f>
        <v>10</v>
      </c>
      <c r="L27" s="249">
        <f t="shared" ref="L27:L35" si="73">IF($D27="","",VLOOKUP($D27,$D$3:$BA$24,34+AF$1,FALSE))</f>
        <v>7</v>
      </c>
      <c r="M27" s="249">
        <f t="shared" ref="M27:M35" si="74">IF($D27="","",VLOOKUP($D27,$D$3:$BA$24,34+AG$1,FALSE))</f>
        <v>5</v>
      </c>
      <c r="N27" s="249">
        <f t="shared" ref="N27:N35" si="75">IF($D27="","",VLOOKUP($D27,$D$3:$BA$24,34+AH$1,FALSE))</f>
        <v>6</v>
      </c>
      <c r="O27" s="249">
        <f t="shared" ref="O27:O35" si="76">IF($D27="","",VLOOKUP($D27,$D$3:$BA$24,34+AI$1,FALSE))</f>
        <v>8</v>
      </c>
      <c r="P27" s="53">
        <f t="shared" ref="P27:Q35" si="77">IF($D27="","",VLOOKUP($D27,$D$3:$BA$24,1+AJ$1,FALSE))</f>
        <v>7</v>
      </c>
      <c r="Q27" s="250">
        <f t="shared" si="77"/>
        <v>9</v>
      </c>
      <c r="R27" s="117">
        <f t="shared" ref="R27:R35" si="78">IF($D27="","",IF($E27="DH","-",VLOOKUP($D27,$D$2:$BA$24,9+VLOOKUP($E27,$U$26:$V$34,2,FALSE),FALSE)))</f>
        <v>10</v>
      </c>
      <c r="S27" s="102">
        <f t="shared" ref="S27:S35" si="79">IF($D27="","",IF($E27="DH","-",VLOOKUP($D27,$D$2:$BA$24,VLOOKUP($E27,$U$26:$W$34,3,FALSE),FALSE)))</f>
        <v>10</v>
      </c>
      <c r="U27" s="53" t="s">
        <v>95</v>
      </c>
      <c r="V27" s="53">
        <v>2</v>
      </c>
      <c r="W27" s="250">
        <v>8</v>
      </c>
      <c r="X27" s="249" t="str">
        <f>VLOOKUP($U27,$E$26:$S$35,14,FALSE)</f>
        <v/>
      </c>
      <c r="Y27" s="250" t="str">
        <f>VLOOKUP($U27,$E$26:$S$35,15,FALSE)</f>
        <v/>
      </c>
      <c r="AA27" t="s">
        <v>478</v>
      </c>
      <c r="AB27">
        <v>1</v>
      </c>
      <c r="AH27" s="202">
        <v>1</v>
      </c>
      <c r="AI27" s="295" t="s">
        <v>517</v>
      </c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6"/>
    </row>
    <row r="28" spans="1:53">
      <c r="B28" s="262"/>
      <c r="C28" s="36">
        <v>2</v>
      </c>
      <c r="D28" s="58" t="s">
        <v>462</v>
      </c>
      <c r="E28" s="37" t="s">
        <v>97</v>
      </c>
      <c r="F28" s="38" t="str">
        <f>IF($D28="","",VLOOKUP($D28,$D$3:$AL$24,$F$1-2,FALSE))</f>
        <v>R</v>
      </c>
      <c r="G28" s="249">
        <f t="shared" si="72"/>
        <v>1</v>
      </c>
      <c r="H28" s="249">
        <f t="shared" ref="H28:H35" si="80">IF($D28="","",IF(VLOOKUP($D28,$D$3:$AL$24,18+3,FALSE)=1,3,IF(VLOOKUP($D28,$D$3:$AL$24,18+4,FALSE)=1,4,IF(VLOOKUP($D28,$D$3:$AL$24,18+1,FALSE)=1,1,IF(VLOOKUP($D28,$D$3:$AL$24,18+5,FALSE)=1,5,IF(VLOOKUP($D28,$D$3:$AL$24,18+2,FALSE)=1,2,IF(VLOOKUP($D28,$D$3:$AL$24,18+6,FALSE)=1,6,IF(VLOOKUP($D28,$D$3:$AL$24,18+7,FALSE)=1,7,IF(VLOOKUP($D28,$D$3:$AL$24,18+8,FALSE)=1,8,9)))))))))</f>
        <v>1</v>
      </c>
      <c r="I28" s="8">
        <f t="shared" ref="I28:I35" si="81">IF($D28="","",VLOOKUP($D28,$D$3:$AL$24,35,FALSE))</f>
        <v>6.6388888888888893</v>
      </c>
      <c r="J28" s="89">
        <v>5</v>
      </c>
      <c r="K28" s="53">
        <f t="shared" ref="K28:K35" si="82">IF($D28="","",VLOOKUP($D28,$D$3:$BA$24,34+AE$1,FALSE))</f>
        <v>8</v>
      </c>
      <c r="L28" s="249">
        <f t="shared" si="73"/>
        <v>6</v>
      </c>
      <c r="M28" s="249">
        <f t="shared" si="74"/>
        <v>8</v>
      </c>
      <c r="N28" s="249">
        <f t="shared" si="75"/>
        <v>9</v>
      </c>
      <c r="O28" s="249">
        <f t="shared" si="76"/>
        <v>9</v>
      </c>
      <c r="P28" s="53">
        <f t="shared" si="77"/>
        <v>5</v>
      </c>
      <c r="Q28" s="250">
        <f t="shared" si="77"/>
        <v>5</v>
      </c>
      <c r="R28" s="118">
        <f t="shared" si="78"/>
        <v>7</v>
      </c>
      <c r="S28" s="102">
        <f t="shared" si="79"/>
        <v>5</v>
      </c>
      <c r="U28" s="53" t="s">
        <v>97</v>
      </c>
      <c r="V28" s="53">
        <v>3</v>
      </c>
      <c r="W28" s="250">
        <v>9</v>
      </c>
      <c r="X28" s="249">
        <f t="shared" ref="X28:X34" si="83">VLOOKUP($U28,$E$26:$S$35,14,FALSE)</f>
        <v>7</v>
      </c>
      <c r="Y28" s="250">
        <f t="shared" ref="Y28:Y34" si="84">VLOOKUP($U28,$E$26:$S$35,15,FALSE)</f>
        <v>5</v>
      </c>
      <c r="AA28" t="s">
        <v>479</v>
      </c>
      <c r="AB28">
        <v>3</v>
      </c>
      <c r="AH28" s="77">
        <v>2</v>
      </c>
      <c r="AI28" s="295" t="s">
        <v>518</v>
      </c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6"/>
    </row>
    <row r="29" spans="1:53">
      <c r="B29" s="262"/>
      <c r="C29" s="36">
        <v>3</v>
      </c>
      <c r="D29" s="58" t="s">
        <v>425</v>
      </c>
      <c r="E29" s="65" t="s">
        <v>101</v>
      </c>
      <c r="F29" s="38" t="str">
        <f t="shared" ref="F29:F35" si="85">IF($D29="","",VLOOKUP($D29,$D$3:$AL$24,$F$1-2,FALSE))</f>
        <v>L</v>
      </c>
      <c r="G29" s="249">
        <f t="shared" si="72"/>
        <v>0</v>
      </c>
      <c r="H29" s="249">
        <f t="shared" si="80"/>
        <v>1</v>
      </c>
      <c r="I29" s="8">
        <f t="shared" si="81"/>
        <v>7.2361111111111107</v>
      </c>
      <c r="J29" s="89">
        <v>1</v>
      </c>
      <c r="K29" s="53">
        <f t="shared" si="82"/>
        <v>8</v>
      </c>
      <c r="L29" s="249">
        <f t="shared" si="73"/>
        <v>7</v>
      </c>
      <c r="M29" s="249">
        <f t="shared" si="74"/>
        <v>7</v>
      </c>
      <c r="N29" s="249">
        <f t="shared" si="75"/>
        <v>6</v>
      </c>
      <c r="O29" s="249">
        <f t="shared" si="76"/>
        <v>8</v>
      </c>
      <c r="P29" s="53">
        <f t="shared" si="77"/>
        <v>7</v>
      </c>
      <c r="Q29" s="250">
        <f t="shared" si="77"/>
        <v>10</v>
      </c>
      <c r="R29" s="118">
        <f t="shared" si="78"/>
        <v>10</v>
      </c>
      <c r="S29" s="102">
        <f t="shared" si="79"/>
        <v>4</v>
      </c>
      <c r="U29" s="53" t="s">
        <v>98</v>
      </c>
      <c r="V29" s="53">
        <v>4</v>
      </c>
      <c r="W29" s="250">
        <v>9</v>
      </c>
      <c r="X29" s="249" t="str">
        <f t="shared" si="83"/>
        <v/>
      </c>
      <c r="Y29" s="250" t="str">
        <f t="shared" si="84"/>
        <v/>
      </c>
      <c r="AA29" t="s">
        <v>482</v>
      </c>
      <c r="AB29">
        <v>5</v>
      </c>
      <c r="AH29" s="77">
        <v>3</v>
      </c>
      <c r="AI29" s="295" t="s">
        <v>360</v>
      </c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6"/>
    </row>
    <row r="30" spans="1:53">
      <c r="B30" s="262"/>
      <c r="C30" s="36">
        <v>4</v>
      </c>
      <c r="D30" s="58" t="s">
        <v>496</v>
      </c>
      <c r="E30" s="65" t="s">
        <v>18</v>
      </c>
      <c r="F30" s="38" t="str">
        <f t="shared" si="85"/>
        <v>R</v>
      </c>
      <c r="G30" s="249">
        <f t="shared" si="72"/>
        <v>0</v>
      </c>
      <c r="H30" s="249">
        <f t="shared" si="80"/>
        <v>9</v>
      </c>
      <c r="I30" s="8">
        <f t="shared" si="81"/>
        <v>2.2361111111111112</v>
      </c>
      <c r="J30" s="89">
        <v>2</v>
      </c>
      <c r="K30" s="53">
        <f t="shared" si="82"/>
        <v>9</v>
      </c>
      <c r="L30" s="249">
        <f t="shared" si="73"/>
        <v>7</v>
      </c>
      <c r="M30" s="249">
        <f t="shared" si="74"/>
        <v>7</v>
      </c>
      <c r="N30" s="249">
        <f t="shared" si="75"/>
        <v>3</v>
      </c>
      <c r="O30" s="249">
        <f t="shared" si="76"/>
        <v>10</v>
      </c>
      <c r="P30" s="53">
        <f t="shared" si="77"/>
        <v>8</v>
      </c>
      <c r="Q30" s="250">
        <f t="shared" si="77"/>
        <v>10</v>
      </c>
      <c r="R30" s="118" t="str">
        <f t="shared" si="78"/>
        <v>-</v>
      </c>
      <c r="S30" s="102" t="str">
        <f t="shared" si="79"/>
        <v>-</v>
      </c>
      <c r="U30" s="53" t="s">
        <v>99</v>
      </c>
      <c r="V30" s="53">
        <v>5</v>
      </c>
      <c r="W30" s="250">
        <v>9</v>
      </c>
      <c r="X30" s="249">
        <f t="shared" si="83"/>
        <v>8</v>
      </c>
      <c r="Y30" s="250">
        <f t="shared" si="84"/>
        <v>9</v>
      </c>
      <c r="AA30" t="s">
        <v>481</v>
      </c>
      <c r="AB30">
        <v>2</v>
      </c>
      <c r="AH30" s="77">
        <v>4</v>
      </c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</row>
    <row r="31" spans="1:53">
      <c r="B31" s="262"/>
      <c r="C31" s="36">
        <v>5</v>
      </c>
      <c r="D31" s="58" t="s">
        <v>401</v>
      </c>
      <c r="E31" s="65" t="s">
        <v>99</v>
      </c>
      <c r="F31" s="38" t="str">
        <f t="shared" si="85"/>
        <v>R</v>
      </c>
      <c r="G31" s="249">
        <f t="shared" si="72"/>
        <v>0</v>
      </c>
      <c r="H31" s="249">
        <f t="shared" si="80"/>
        <v>9</v>
      </c>
      <c r="I31" s="8">
        <f t="shared" si="81"/>
        <v>4.583333333333333</v>
      </c>
      <c r="J31" s="89">
        <v>4</v>
      </c>
      <c r="K31" s="53">
        <f t="shared" si="82"/>
        <v>9</v>
      </c>
      <c r="L31" s="249">
        <f t="shared" si="73"/>
        <v>5</v>
      </c>
      <c r="M31" s="249">
        <f t="shared" si="74"/>
        <v>8</v>
      </c>
      <c r="N31" s="249">
        <f t="shared" si="75"/>
        <v>5</v>
      </c>
      <c r="O31" s="249">
        <f t="shared" si="76"/>
        <v>5</v>
      </c>
      <c r="P31" s="53">
        <f t="shared" si="77"/>
        <v>2</v>
      </c>
      <c r="Q31" s="250">
        <f t="shared" si="77"/>
        <v>5</v>
      </c>
      <c r="R31" s="118">
        <f t="shared" si="78"/>
        <v>8</v>
      </c>
      <c r="S31" s="102">
        <f t="shared" si="79"/>
        <v>9</v>
      </c>
      <c r="U31" s="53" t="s">
        <v>100</v>
      </c>
      <c r="V31" s="53">
        <v>6</v>
      </c>
      <c r="W31" s="250">
        <v>9</v>
      </c>
      <c r="X31" s="249" t="str">
        <f t="shared" si="83"/>
        <v/>
      </c>
      <c r="Y31" s="250" t="str">
        <f t="shared" si="84"/>
        <v/>
      </c>
      <c r="AA31" t="s">
        <v>480</v>
      </c>
      <c r="AB31">
        <v>4</v>
      </c>
      <c r="AH31" s="78">
        <v>5</v>
      </c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4"/>
    </row>
    <row r="32" spans="1:53">
      <c r="B32" s="262"/>
      <c r="C32" s="36">
        <v>6</v>
      </c>
      <c r="D32" s="58"/>
      <c r="E32" s="65" t="s">
        <v>95</v>
      </c>
      <c r="F32" s="38" t="str">
        <f t="shared" si="85"/>
        <v/>
      </c>
      <c r="G32" s="249" t="str">
        <f t="shared" si="72"/>
        <v/>
      </c>
      <c r="H32" s="249" t="str">
        <f t="shared" si="80"/>
        <v/>
      </c>
      <c r="I32" s="8" t="str">
        <f t="shared" si="81"/>
        <v/>
      </c>
      <c r="J32" s="89">
        <v>6</v>
      </c>
      <c r="K32" s="53" t="str">
        <f t="shared" si="82"/>
        <v/>
      </c>
      <c r="L32" s="249" t="str">
        <f t="shared" si="73"/>
        <v/>
      </c>
      <c r="M32" s="249" t="str">
        <f t="shared" si="74"/>
        <v/>
      </c>
      <c r="N32" s="249" t="str">
        <f t="shared" si="75"/>
        <v/>
      </c>
      <c r="O32" s="249" t="str">
        <f t="shared" si="76"/>
        <v/>
      </c>
      <c r="P32" s="53" t="str">
        <f t="shared" si="77"/>
        <v/>
      </c>
      <c r="Q32" s="250" t="str">
        <f t="shared" si="77"/>
        <v/>
      </c>
      <c r="R32" s="118" t="str">
        <f t="shared" si="78"/>
        <v/>
      </c>
      <c r="S32" s="102" t="str">
        <f t="shared" si="79"/>
        <v/>
      </c>
      <c r="U32" s="53" t="s">
        <v>101</v>
      </c>
      <c r="V32" s="53">
        <v>7</v>
      </c>
      <c r="W32" s="250">
        <v>10</v>
      </c>
      <c r="X32" s="249">
        <f t="shared" si="83"/>
        <v>10</v>
      </c>
      <c r="Y32" s="250">
        <f t="shared" si="84"/>
        <v>4</v>
      </c>
      <c r="AA32" t="s">
        <v>484</v>
      </c>
      <c r="AB32">
        <v>6</v>
      </c>
    </row>
    <row r="33" spans="1:29">
      <c r="B33" s="262"/>
      <c r="C33" s="36">
        <v>7</v>
      </c>
      <c r="D33" s="58"/>
      <c r="E33" s="65" t="s">
        <v>102</v>
      </c>
      <c r="F33" s="38" t="str">
        <f t="shared" si="85"/>
        <v/>
      </c>
      <c r="G33" s="249" t="str">
        <f t="shared" si="72"/>
        <v/>
      </c>
      <c r="H33" s="249" t="str">
        <f t="shared" si="80"/>
        <v/>
      </c>
      <c r="I33" s="8" t="str">
        <f t="shared" si="81"/>
        <v/>
      </c>
      <c r="J33" s="89">
        <v>7</v>
      </c>
      <c r="K33" s="53" t="str">
        <f t="shared" si="82"/>
        <v/>
      </c>
      <c r="L33" s="249" t="str">
        <f t="shared" si="73"/>
        <v/>
      </c>
      <c r="M33" s="249" t="str">
        <f t="shared" si="74"/>
        <v/>
      </c>
      <c r="N33" s="249" t="str">
        <f t="shared" si="75"/>
        <v/>
      </c>
      <c r="O33" s="249" t="str">
        <f t="shared" si="76"/>
        <v/>
      </c>
      <c r="P33" s="53" t="str">
        <f t="shared" si="77"/>
        <v/>
      </c>
      <c r="Q33" s="250" t="str">
        <f t="shared" si="77"/>
        <v/>
      </c>
      <c r="R33" s="118" t="str">
        <f t="shared" si="78"/>
        <v/>
      </c>
      <c r="S33" s="102" t="str">
        <f t="shared" si="79"/>
        <v/>
      </c>
      <c r="U33" s="53" t="s">
        <v>102</v>
      </c>
      <c r="V33" s="53">
        <v>8</v>
      </c>
      <c r="W33" s="250">
        <v>10</v>
      </c>
      <c r="X33" s="249" t="str">
        <f t="shared" si="83"/>
        <v/>
      </c>
      <c r="Y33" s="250" t="str">
        <f t="shared" si="84"/>
        <v/>
      </c>
      <c r="AA33" t="s">
        <v>485</v>
      </c>
      <c r="AB33">
        <v>7</v>
      </c>
    </row>
    <row r="34" spans="1:29">
      <c r="B34" s="262"/>
      <c r="C34" s="36">
        <v>8</v>
      </c>
      <c r="D34" s="58"/>
      <c r="E34" s="65" t="s">
        <v>100</v>
      </c>
      <c r="F34" s="38" t="str">
        <f t="shared" si="85"/>
        <v/>
      </c>
      <c r="G34" s="249" t="str">
        <f t="shared" si="72"/>
        <v/>
      </c>
      <c r="H34" s="249" t="str">
        <f t="shared" si="80"/>
        <v/>
      </c>
      <c r="I34" s="8" t="str">
        <f t="shared" si="81"/>
        <v/>
      </c>
      <c r="J34" s="89">
        <v>8</v>
      </c>
      <c r="K34" s="53" t="str">
        <f t="shared" si="82"/>
        <v/>
      </c>
      <c r="L34" s="249" t="str">
        <f t="shared" si="73"/>
        <v/>
      </c>
      <c r="M34" s="249" t="str">
        <f t="shared" si="74"/>
        <v/>
      </c>
      <c r="N34" s="249" t="str">
        <f t="shared" si="75"/>
        <v/>
      </c>
      <c r="O34" s="249" t="str">
        <f t="shared" si="76"/>
        <v/>
      </c>
      <c r="P34" s="53" t="str">
        <f t="shared" si="77"/>
        <v/>
      </c>
      <c r="Q34" s="250" t="str">
        <f t="shared" si="77"/>
        <v/>
      </c>
      <c r="R34" s="118" t="str">
        <f t="shared" si="78"/>
        <v/>
      </c>
      <c r="S34" s="102" t="str">
        <f t="shared" si="79"/>
        <v/>
      </c>
      <c r="U34" s="54" t="s">
        <v>103</v>
      </c>
      <c r="V34" s="54">
        <v>9</v>
      </c>
      <c r="W34" s="248">
        <v>10</v>
      </c>
      <c r="X34" s="247">
        <f t="shared" si="83"/>
        <v>10</v>
      </c>
      <c r="Y34" s="248">
        <f t="shared" si="84"/>
        <v>10</v>
      </c>
      <c r="AA34" t="s">
        <v>486</v>
      </c>
      <c r="AB34">
        <v>8</v>
      </c>
    </row>
    <row r="35" spans="1:29">
      <c r="B35" s="262"/>
      <c r="C35" s="39">
        <v>9</v>
      </c>
      <c r="D35" s="59"/>
      <c r="E35" s="40" t="s">
        <v>98</v>
      </c>
      <c r="F35" s="42" t="str">
        <f t="shared" si="85"/>
        <v/>
      </c>
      <c r="G35" s="247" t="str">
        <f t="shared" si="72"/>
        <v/>
      </c>
      <c r="H35" s="247" t="str">
        <f t="shared" si="80"/>
        <v/>
      </c>
      <c r="I35" s="69" t="str">
        <f t="shared" si="81"/>
        <v/>
      </c>
      <c r="J35" s="90">
        <v>9</v>
      </c>
      <c r="K35" s="54" t="str">
        <f t="shared" si="82"/>
        <v/>
      </c>
      <c r="L35" s="247" t="str">
        <f t="shared" si="73"/>
        <v/>
      </c>
      <c r="M35" s="247" t="str">
        <f t="shared" si="74"/>
        <v/>
      </c>
      <c r="N35" s="247" t="str">
        <f t="shared" si="75"/>
        <v/>
      </c>
      <c r="O35" s="247" t="str">
        <f t="shared" si="76"/>
        <v/>
      </c>
      <c r="P35" s="54" t="str">
        <f t="shared" si="77"/>
        <v/>
      </c>
      <c r="Q35" s="248" t="str">
        <f t="shared" si="77"/>
        <v/>
      </c>
      <c r="R35" s="119" t="str">
        <f t="shared" si="78"/>
        <v/>
      </c>
      <c r="S35" s="103" t="str">
        <f t="shared" si="79"/>
        <v/>
      </c>
      <c r="AA35" t="s">
        <v>483</v>
      </c>
      <c r="AB35">
        <v>9</v>
      </c>
    </row>
    <row r="36" spans="1:29">
      <c r="B36" s="262"/>
      <c r="C36" s="4"/>
      <c r="D36" s="37"/>
      <c r="E36" s="37"/>
      <c r="F36" s="37"/>
      <c r="G36" s="249"/>
      <c r="H36" s="249"/>
      <c r="I36" s="9"/>
    </row>
    <row r="37" spans="1:29">
      <c r="B37" s="262"/>
      <c r="C37" s="32" t="s">
        <v>197</v>
      </c>
      <c r="D37" s="35">
        <f>COUNTA(D3:D11,D14:D19,D22:D24)</f>
        <v>6</v>
      </c>
      <c r="E37" s="37"/>
      <c r="F37" s="37"/>
      <c r="G37" s="249"/>
      <c r="H37" s="249"/>
      <c r="I37" s="9"/>
    </row>
    <row r="38" spans="1:29">
      <c r="B38" s="262"/>
      <c r="C38" s="36" t="s">
        <v>198</v>
      </c>
      <c r="D38" s="38">
        <f>COUNTA(D42:D47,D50:D51,D54:D59)</f>
        <v>12</v>
      </c>
      <c r="E38" s="37"/>
      <c r="F38" s="37"/>
      <c r="G38" s="249"/>
      <c r="H38" s="249"/>
      <c r="I38" s="9"/>
    </row>
    <row r="39" spans="1:29">
      <c r="B39" s="262"/>
      <c r="C39" s="39" t="s">
        <v>199</v>
      </c>
      <c r="D39" s="42">
        <f>D37+D38</f>
        <v>18</v>
      </c>
      <c r="E39" s="37"/>
      <c r="F39" s="37"/>
      <c r="G39" s="249"/>
      <c r="H39" s="249"/>
      <c r="I39" s="9"/>
    </row>
    <row r="40" spans="1:29">
      <c r="J40">
        <v>6</v>
      </c>
      <c r="L40">
        <v>14</v>
      </c>
      <c r="M40">
        <v>15</v>
      </c>
      <c r="N40">
        <v>16</v>
      </c>
      <c r="O40">
        <v>17</v>
      </c>
      <c r="P40">
        <f>O40+2</f>
        <v>19</v>
      </c>
      <c r="Q40">
        <f t="shared" ref="Q40:Z40" si="86">P40+2</f>
        <v>21</v>
      </c>
      <c r="R40">
        <f t="shared" si="86"/>
        <v>23</v>
      </c>
      <c r="S40">
        <f t="shared" si="86"/>
        <v>25</v>
      </c>
      <c r="T40">
        <f t="shared" si="86"/>
        <v>27</v>
      </c>
      <c r="U40">
        <f t="shared" si="86"/>
        <v>29</v>
      </c>
      <c r="V40">
        <f t="shared" si="86"/>
        <v>31</v>
      </c>
      <c r="W40">
        <f t="shared" si="86"/>
        <v>33</v>
      </c>
      <c r="X40">
        <f t="shared" si="86"/>
        <v>35</v>
      </c>
      <c r="Y40">
        <f t="shared" si="86"/>
        <v>37</v>
      </c>
      <c r="Z40">
        <f t="shared" si="86"/>
        <v>39</v>
      </c>
      <c r="AA40">
        <v>41</v>
      </c>
      <c r="AB40">
        <v>42</v>
      </c>
      <c r="AC40">
        <v>43</v>
      </c>
    </row>
    <row r="41" spans="1:29" s="249" customFormat="1" ht="74.25">
      <c r="A41" s="73" t="s">
        <v>196</v>
      </c>
      <c r="B41" s="259" t="s">
        <v>520</v>
      </c>
      <c r="C41" s="244" t="s">
        <v>129</v>
      </c>
      <c r="D41" s="44" t="s">
        <v>121</v>
      </c>
      <c r="E41" s="44" t="s">
        <v>94</v>
      </c>
      <c r="F41" s="50" t="s">
        <v>105</v>
      </c>
      <c r="G41" s="46" t="s">
        <v>186</v>
      </c>
      <c r="H41" s="46" t="s">
        <v>187</v>
      </c>
      <c r="I41" s="46" t="s">
        <v>188</v>
      </c>
      <c r="J41" s="76" t="s">
        <v>217</v>
      </c>
      <c r="K41" s="76" t="s">
        <v>192</v>
      </c>
      <c r="L41" s="74" t="s">
        <v>189</v>
      </c>
      <c r="M41" s="74" t="s">
        <v>190</v>
      </c>
      <c r="N41" s="75" t="s">
        <v>191</v>
      </c>
      <c r="O41" s="74" t="s">
        <v>63</v>
      </c>
      <c r="P41" s="74" t="s">
        <v>65</v>
      </c>
      <c r="Q41" s="74" t="s">
        <v>67</v>
      </c>
      <c r="R41" s="74" t="s">
        <v>69</v>
      </c>
      <c r="S41" s="74" t="s">
        <v>71</v>
      </c>
      <c r="T41" s="74" t="s">
        <v>111</v>
      </c>
      <c r="U41" s="74" t="s">
        <v>74</v>
      </c>
      <c r="V41" s="74" t="s">
        <v>76</v>
      </c>
      <c r="W41" s="74" t="s">
        <v>78</v>
      </c>
      <c r="X41" s="74" t="s">
        <v>80</v>
      </c>
      <c r="Y41" s="74" t="s">
        <v>82</v>
      </c>
      <c r="Z41" s="75" t="s">
        <v>84</v>
      </c>
      <c r="AA41" s="79" t="s">
        <v>203</v>
      </c>
      <c r="AB41" s="74" t="s">
        <v>202</v>
      </c>
      <c r="AC41" s="75" t="s">
        <v>204</v>
      </c>
    </row>
    <row r="42" spans="1:29">
      <c r="A42" s="249">
        <v>1</v>
      </c>
      <c r="B42" s="266" t="s">
        <v>244</v>
      </c>
      <c r="C42" s="36" t="s">
        <v>111</v>
      </c>
      <c r="D42" s="249" t="s">
        <v>4</v>
      </c>
      <c r="E42" s="37">
        <f>IF($D42="","",VLOOKUP($D42,CTPit!$E$10:$BG$214,E$1,FALSE))</f>
        <v>25</v>
      </c>
      <c r="F42" s="38" t="str">
        <f>IF($D42="","",VLOOKUP($D42,CTPit!$E$10:$BG$214,F$1+1,FALSE))</f>
        <v>R</v>
      </c>
      <c r="G42" s="249">
        <f t="shared" ref="G42:G47" si="87">IF($D42="","",IF(AVERAGE(L42:N42)&gt;7,1,0))</f>
        <v>1</v>
      </c>
      <c r="H42" s="249">
        <f t="shared" ref="H42:H47" si="88">IF($D42="","",IF(AVERAGE(L42:N42)&gt;6.5,1,0))</f>
        <v>1</v>
      </c>
      <c r="I42" s="249">
        <f t="shared" ref="I42:I47" si="89">IF($D42="","",IF(AVERAGE(L42:N42)&gt;6,1,0))</f>
        <v>1</v>
      </c>
      <c r="J42" s="99" t="str">
        <f>IF($D42="","",VLOOKUP($D42,CTPit!$E$10:$BG$72,J$40,FALSE))</f>
        <v>R</v>
      </c>
      <c r="K42" s="77">
        <f t="shared" ref="K42:K47" si="90">IF($D42="","",COUNT(O42:Z42))</f>
        <v>5</v>
      </c>
      <c r="L42" s="249">
        <f>IF($D42="","",VLOOKUP($D42,CTPit!$E$10:$BG$72,L$40,FALSE))</f>
        <v>8</v>
      </c>
      <c r="M42" s="249">
        <f>IF($D42="","",VLOOKUP($D42,CTPit!$E$10:$BG$72,M$40,FALSE))</f>
        <v>7</v>
      </c>
      <c r="N42" s="250">
        <f>IF($D42="","",VLOOKUP($D42,CTPit!$E$10:$BG$72,N$40,FALSE))</f>
        <v>8</v>
      </c>
      <c r="O42" s="249">
        <f>IF($D42="","",VLOOKUP($D42,CTPit!$E$10:$BG$72,O$40,FALSE))</f>
        <v>8</v>
      </c>
      <c r="P42" s="249">
        <f>IF($D42="","",VLOOKUP($D42,CTPit!$E$10:$BG$72,P$40,FALSE))</f>
        <v>8</v>
      </c>
      <c r="Q42" s="249" t="str">
        <f>IF($D42="","",VLOOKUP($D42,CTPit!$E$10:$BG$72,Q$40,FALSE))</f>
        <v>-</v>
      </c>
      <c r="R42" s="249">
        <f>IF($D42="","",VLOOKUP($D42,CTPit!$E$10:$BG$72,R$40,FALSE))</f>
        <v>8</v>
      </c>
      <c r="S42" s="249">
        <f>IF($D42="","",VLOOKUP($D42,CTPit!$E$10:$BG$72,S$40,FALSE))</f>
        <v>7</v>
      </c>
      <c r="T42" s="249" t="str">
        <f>IF($D42="","",VLOOKUP($D42,CTPit!$E$10:$BG$72,T$40,FALSE))</f>
        <v>-</v>
      </c>
      <c r="U42" s="249" t="str">
        <f>IF($D42="","",VLOOKUP($D42,CTPit!$E$10:$BG$72,U$40,FALSE))</f>
        <v>-</v>
      </c>
      <c r="V42" s="249" t="str">
        <f>IF($D42="","",VLOOKUP($D42,CTPit!$E$10:$BG$72,V$40,FALSE))</f>
        <v>-</v>
      </c>
      <c r="W42" s="249">
        <f>IF($D42="","",VLOOKUP($D42,CTPit!$E$10:$BG$72,W$40,FALSE))</f>
        <v>2</v>
      </c>
      <c r="X42" s="249" t="str">
        <f>IF($D42="","",VLOOKUP($D42,CTPit!$E$10:$BG$72,X$40,FALSE))</f>
        <v>-</v>
      </c>
      <c r="Y42" s="249" t="str">
        <f>IF($D42="","",VLOOKUP($D42,CTPit!$E$10:$BG$72,Y$40,FALSE))</f>
        <v>-</v>
      </c>
      <c r="Z42" s="250" t="str">
        <f>IF($D42="","",VLOOKUP($D42,CTPit!$E$10:$BG$72,Z$40,FALSE))</f>
        <v>-</v>
      </c>
      <c r="AA42" s="53" t="str">
        <f>IF($D42="","",VLOOKUP($D42,CTPit!$E$10:$BG$72,AA$40,FALSE))</f>
        <v>95-97 Mph</v>
      </c>
      <c r="AB42" s="249">
        <f>IF($D42="","",VLOOKUP($D42,CTPit!$E$10:$BG$72,AB$40,FALSE))</f>
        <v>7</v>
      </c>
      <c r="AC42" s="80">
        <f>IF($D42="","",VLOOKUP($D42,CTPit!$E$10:$BG$72,AC$40,FALSE))</f>
        <v>0.61</v>
      </c>
    </row>
    <row r="43" spans="1:29">
      <c r="A43" s="249">
        <v>2</v>
      </c>
      <c r="B43" s="266" t="s">
        <v>244</v>
      </c>
      <c r="C43" s="36" t="s">
        <v>111</v>
      </c>
      <c r="D43" s="37" t="s">
        <v>347</v>
      </c>
      <c r="E43" s="37">
        <f>IF($D43="","",VLOOKUP($D43,CTPit!$E$10:$BG$214,E$1,FALSE))</f>
        <v>25</v>
      </c>
      <c r="F43" s="38" t="str">
        <f>IF($D43="","",VLOOKUP($D43,CTPit!$E$10:$BG$214,F$1+1,FALSE))</f>
        <v>R</v>
      </c>
      <c r="G43" s="249">
        <f t="shared" si="87"/>
        <v>0</v>
      </c>
      <c r="H43" s="249">
        <f t="shared" si="88"/>
        <v>1</v>
      </c>
      <c r="I43" s="249">
        <f t="shared" si="89"/>
        <v>1</v>
      </c>
      <c r="J43" s="100" t="str">
        <f>IF($D43="","",VLOOKUP($D43,CTPit!$E$10:$BG$72,J$40,FALSE))</f>
        <v>R</v>
      </c>
      <c r="K43" s="77">
        <f t="shared" si="90"/>
        <v>4</v>
      </c>
      <c r="L43" s="249">
        <f>IF($D43="","",VLOOKUP($D43,CTPit!$E$10:$BG$72,L$40,FALSE))</f>
        <v>8</v>
      </c>
      <c r="M43" s="249">
        <f>IF($D43="","",VLOOKUP($D43,CTPit!$E$10:$BG$72,M$40,FALSE))</f>
        <v>6</v>
      </c>
      <c r="N43" s="250">
        <f>IF($D43="","",VLOOKUP($D43,CTPit!$E$10:$BG$72,N$40,FALSE))</f>
        <v>6</v>
      </c>
      <c r="O43" s="249">
        <f>IF($D43="","",VLOOKUP($D43,CTPit!$E$10:$BG$72,O$40,FALSE))</f>
        <v>9</v>
      </c>
      <c r="P43" s="249">
        <f>IF($D43="","",VLOOKUP($D43,CTPit!$E$10:$BG$72,P$40,FALSE))</f>
        <v>8</v>
      </c>
      <c r="Q43" s="249" t="str">
        <f>IF($D43="","",VLOOKUP($D43,CTPit!$E$10:$BG$72,Q$40,FALSE))</f>
        <v>-</v>
      </c>
      <c r="R43" s="249">
        <f>IF($D43="","",VLOOKUP($D43,CTPit!$E$10:$BG$72,R$40,FALSE))</f>
        <v>8</v>
      </c>
      <c r="S43" s="249" t="str">
        <f>IF($D43="","",VLOOKUP($D43,CTPit!$E$10:$BG$72,S$40,FALSE))</f>
        <v>-</v>
      </c>
      <c r="T43" s="249">
        <f>IF($D43="","",VLOOKUP($D43,CTPit!$E$10:$BG$72,T$40,FALSE))</f>
        <v>5</v>
      </c>
      <c r="U43" s="249" t="str">
        <f>IF($D43="","",VLOOKUP($D43,CTPit!$E$10:$BG$72,U$40,FALSE))</f>
        <v>-</v>
      </c>
      <c r="V43" s="249" t="str">
        <f>IF($D43="","",VLOOKUP($D43,CTPit!$E$10:$BG$72,V$40,FALSE))</f>
        <v>-</v>
      </c>
      <c r="W43" s="249" t="str">
        <f>IF($D43="","",VLOOKUP($D43,CTPit!$E$10:$BG$72,W$40,FALSE))</f>
        <v>-</v>
      </c>
      <c r="X43" s="249" t="str">
        <f>IF($D43="","",VLOOKUP($D43,CTPit!$E$10:$BG$72,X$40,FALSE))</f>
        <v>-</v>
      </c>
      <c r="Y43" s="249" t="str">
        <f>IF($D43="","",VLOOKUP($D43,CTPit!$E$10:$BG$72,Y$40,FALSE))</f>
        <v>-</v>
      </c>
      <c r="Z43" s="250" t="str">
        <f>IF($D43="","",VLOOKUP($D43,CTPit!$E$10:$BG$72,Z$40,FALSE))</f>
        <v>-</v>
      </c>
      <c r="AA43" s="53" t="str">
        <f>IF($D43="","",VLOOKUP($D43,CTPit!$E$10:$BG$72,AA$40,FALSE))</f>
        <v>96-98 Mph</v>
      </c>
      <c r="AB43" s="249">
        <f>IF($D43="","",VLOOKUP($D43,CTPit!$E$10:$BG$72,AB$40,FALSE))</f>
        <v>8</v>
      </c>
      <c r="AC43" s="80">
        <f>IF($D43="","",VLOOKUP($D43,CTPit!$E$10:$BG$72,AC$40,FALSE))</f>
        <v>0.38</v>
      </c>
    </row>
    <row r="44" spans="1:29">
      <c r="A44" s="249">
        <v>3</v>
      </c>
      <c r="B44" s="263"/>
      <c r="C44" s="36" t="s">
        <v>111</v>
      </c>
      <c r="D44" s="65"/>
      <c r="E44" s="37" t="str">
        <f>IF($D44="","",VLOOKUP($D44,CTPit!$E$10:$BG$214,E$1,FALSE))</f>
        <v/>
      </c>
      <c r="F44" s="38" t="str">
        <f>IF($D44="","",VLOOKUP($D44,CTPit!$E$10:$BG$214,F$1+1,FALSE))</f>
        <v/>
      </c>
      <c r="G44" s="249" t="str">
        <f t="shared" si="87"/>
        <v/>
      </c>
      <c r="H44" s="249" t="str">
        <f t="shared" si="88"/>
        <v/>
      </c>
      <c r="I44" s="249" t="str">
        <f t="shared" si="89"/>
        <v/>
      </c>
      <c r="J44" s="100" t="str">
        <f>IF($D44="","",VLOOKUP($D44,CTPit!$E$10:$BG$72,J$40,FALSE))</f>
        <v/>
      </c>
      <c r="K44" s="77" t="str">
        <f t="shared" si="90"/>
        <v/>
      </c>
      <c r="L44" s="249" t="str">
        <f>IF($D44="","",VLOOKUP($D44,CTPit!$E$10:$BG$72,L$40,FALSE))</f>
        <v/>
      </c>
      <c r="M44" s="249" t="str">
        <f>IF($D44="","",VLOOKUP($D44,CTPit!$E$10:$BG$72,M$40,FALSE))</f>
        <v/>
      </c>
      <c r="N44" s="250" t="str">
        <f>IF($D44="","",VLOOKUP($D44,CTPit!$E$10:$BG$72,N$40,FALSE))</f>
        <v/>
      </c>
      <c r="O44" s="249" t="str">
        <f>IF($D44="","",VLOOKUP($D44,CTPit!$E$10:$BG$72,O$40,FALSE))</f>
        <v/>
      </c>
      <c r="P44" s="249" t="str">
        <f>IF($D44="","",VLOOKUP($D44,CTPit!$E$10:$BG$72,P$40,FALSE))</f>
        <v/>
      </c>
      <c r="Q44" s="249" t="str">
        <f>IF($D44="","",VLOOKUP($D44,CTPit!$E$10:$BG$72,Q$40,FALSE))</f>
        <v/>
      </c>
      <c r="R44" s="249" t="str">
        <f>IF($D44="","",VLOOKUP($D44,CTPit!$E$10:$BG$72,R$40,FALSE))</f>
        <v/>
      </c>
      <c r="S44" s="249" t="str">
        <f>IF($D44="","",VLOOKUP($D44,CTPit!$E$10:$BG$72,S$40,FALSE))</f>
        <v/>
      </c>
      <c r="T44" s="249" t="str">
        <f>IF($D44="","",VLOOKUP($D44,CTPit!$E$10:$BG$72,T$40,FALSE))</f>
        <v/>
      </c>
      <c r="U44" s="249" t="str">
        <f>IF($D44="","",VLOOKUP($D44,CTPit!$E$10:$BG$72,U$40,FALSE))</f>
        <v/>
      </c>
      <c r="V44" s="249" t="str">
        <f>IF($D44="","",VLOOKUP($D44,CTPit!$E$10:$BG$72,V$40,FALSE))</f>
        <v/>
      </c>
      <c r="W44" s="249" t="str">
        <f>IF($D44="","",VLOOKUP($D44,CTPit!$E$10:$BG$72,W$40,FALSE))</f>
        <v/>
      </c>
      <c r="X44" s="249" t="str">
        <f>IF($D44="","",VLOOKUP($D44,CTPit!$E$10:$BG$72,X$40,FALSE))</f>
        <v/>
      </c>
      <c r="Y44" s="249" t="str">
        <f>IF($D44="","",VLOOKUP($D44,CTPit!$E$10:$BG$72,Y$40,FALSE))</f>
        <v/>
      </c>
      <c r="Z44" s="250" t="str">
        <f>IF($D44="","",VLOOKUP($D44,CTPit!$E$10:$BG$72,Z$40,FALSE))</f>
        <v/>
      </c>
      <c r="AA44" s="53" t="str">
        <f>IF($D44="","",VLOOKUP($D44,CTPit!$E$10:$BG$72,AA$40,FALSE))</f>
        <v/>
      </c>
      <c r="AB44" s="249" t="str">
        <f>IF($D44="","",VLOOKUP($D44,CTPit!$E$10:$BG$72,AB$40,FALSE))</f>
        <v/>
      </c>
      <c r="AC44" s="80" t="str">
        <f>IF($D44="","",VLOOKUP($D44,CTPit!$E$10:$BG$72,AC$40,FALSE))</f>
        <v/>
      </c>
    </row>
    <row r="45" spans="1:29">
      <c r="A45" s="249">
        <v>4</v>
      </c>
      <c r="B45" s="263">
        <v>2019</v>
      </c>
      <c r="C45" s="36" t="s">
        <v>111</v>
      </c>
      <c r="D45" s="65" t="s">
        <v>433</v>
      </c>
      <c r="E45" s="37">
        <f>IF($D45="","",VLOOKUP($D45,CTPit!$E$10:$BG$214,E$1,FALSE))</f>
        <v>23</v>
      </c>
      <c r="F45" s="38" t="str">
        <f>IF($D45="","",VLOOKUP($D45,CTPit!$E$10:$BG$214,F$1+1,FALSE))</f>
        <v>L</v>
      </c>
      <c r="G45" s="249">
        <f t="shared" si="87"/>
        <v>0</v>
      </c>
      <c r="H45" s="249">
        <f t="shared" si="88"/>
        <v>0</v>
      </c>
      <c r="I45" s="249">
        <f t="shared" si="89"/>
        <v>0</v>
      </c>
      <c r="J45" s="100" t="str">
        <f>IF($D45="","",VLOOKUP($D45,CTPit!$E$10:$BG$72,J$40,FALSE))</f>
        <v>L</v>
      </c>
      <c r="K45" s="77">
        <f t="shared" si="90"/>
        <v>3</v>
      </c>
      <c r="L45" s="249">
        <f>IF($D45="","",VLOOKUP($D45,CTPit!$E$10:$BG$72,L$40,FALSE))</f>
        <v>9</v>
      </c>
      <c r="M45" s="249">
        <f>IF($D45="","",VLOOKUP($D45,CTPit!$E$10:$BG$72,M$40,FALSE))</f>
        <v>6</v>
      </c>
      <c r="N45" s="250">
        <f>IF($D45="","",VLOOKUP($D45,CTPit!$E$10:$BG$72,N$40,FALSE))</f>
        <v>3</v>
      </c>
      <c r="O45" s="249">
        <f>IF($D45="","",VLOOKUP($D45,CTPit!$E$10:$BG$72,O$40,FALSE))</f>
        <v>8</v>
      </c>
      <c r="P45" s="249">
        <f>IF($D45="","",VLOOKUP($D45,CTPit!$E$10:$BG$72,P$40,FALSE))</f>
        <v>4</v>
      </c>
      <c r="Q45" s="249" t="str">
        <f>IF($D45="","",VLOOKUP($D45,CTPit!$E$10:$BG$72,Q$40,FALSE))</f>
        <v>-</v>
      </c>
      <c r="R45" s="249">
        <f>IF($D45="","",VLOOKUP($D45,CTPit!$E$10:$BG$72,R$40,FALSE))</f>
        <v>6</v>
      </c>
      <c r="S45" s="249" t="str">
        <f>IF($D45="","",VLOOKUP($D45,CTPit!$E$10:$BG$72,S$40,FALSE))</f>
        <v>-</v>
      </c>
      <c r="T45" s="249" t="str">
        <f>IF($D45="","",VLOOKUP($D45,CTPit!$E$10:$BG$72,T$40,FALSE))</f>
        <v>-</v>
      </c>
      <c r="U45" s="249" t="str">
        <f>IF($D45="","",VLOOKUP($D45,CTPit!$E$10:$BG$72,U$40,FALSE))</f>
        <v>-</v>
      </c>
      <c r="V45" s="249" t="str">
        <f>IF($D45="","",VLOOKUP($D45,CTPit!$E$10:$BG$72,V$40,FALSE))</f>
        <v>-</v>
      </c>
      <c r="W45" s="249" t="str">
        <f>IF($D45="","",VLOOKUP($D45,CTPit!$E$10:$BG$72,W$40,FALSE))</f>
        <v>-</v>
      </c>
      <c r="X45" s="249" t="str">
        <f>IF($D45="","",VLOOKUP($D45,CTPit!$E$10:$BG$72,X$40,FALSE))</f>
        <v>-</v>
      </c>
      <c r="Y45" s="249" t="str">
        <f>IF($D45="","",VLOOKUP($D45,CTPit!$E$10:$BG$72,Y$40,FALSE))</f>
        <v>-</v>
      </c>
      <c r="Z45" s="250" t="str">
        <f>IF($D45="","",VLOOKUP($D45,CTPit!$E$10:$BG$72,Z$40,FALSE))</f>
        <v>-</v>
      </c>
      <c r="AA45" s="53" t="str">
        <f>IF($D45="","",VLOOKUP($D45,CTPit!$E$10:$BG$72,AA$40,FALSE))</f>
        <v>99-101 Mph</v>
      </c>
      <c r="AB45" s="249">
        <f>IF($D45="","",VLOOKUP($D45,CTPit!$E$10:$BG$72,AB$40,FALSE))</f>
        <v>10</v>
      </c>
      <c r="AC45" s="80">
        <f>IF($D45="","",VLOOKUP($D45,CTPit!$E$10:$BG$72,AC$40,FALSE))</f>
        <v>0.61</v>
      </c>
    </row>
    <row r="46" spans="1:29">
      <c r="A46" s="249">
        <v>5</v>
      </c>
      <c r="B46" s="266" t="s">
        <v>244</v>
      </c>
      <c r="C46" s="36" t="s">
        <v>111</v>
      </c>
      <c r="D46" s="65" t="s">
        <v>426</v>
      </c>
      <c r="E46" s="37">
        <f>IF($D46="","",VLOOKUP($D46,CTPit!$E$10:$BG$214,E$1,FALSE))</f>
        <v>28</v>
      </c>
      <c r="F46" s="38" t="str">
        <f>IF($D46="","",VLOOKUP($D46,CTPit!$E$10:$BG$214,F$1+1,FALSE))</f>
        <v>L</v>
      </c>
      <c r="G46" s="249">
        <f t="shared" si="87"/>
        <v>0</v>
      </c>
      <c r="H46" s="249">
        <f t="shared" si="88"/>
        <v>0</v>
      </c>
      <c r="I46" s="249">
        <f t="shared" si="89"/>
        <v>0</v>
      </c>
      <c r="J46" s="100" t="str">
        <f>IF($D46="","",VLOOKUP($D46,CTPit!$E$10:$BG$72,J$40,FALSE))</f>
        <v>L</v>
      </c>
      <c r="K46" s="77">
        <f t="shared" si="90"/>
        <v>3</v>
      </c>
      <c r="L46" s="249">
        <f>IF($D46="","",VLOOKUP($D46,CTPit!$E$10:$BG$72,L$40,FALSE))</f>
        <v>8</v>
      </c>
      <c r="M46" s="249">
        <f>IF($D46="","",VLOOKUP($D46,CTPit!$E$10:$BG$72,M$40,FALSE))</f>
        <v>5</v>
      </c>
      <c r="N46" s="250">
        <f>IF($D46="","",VLOOKUP($D46,CTPit!$E$10:$BG$72,N$40,FALSE))</f>
        <v>5</v>
      </c>
      <c r="O46" s="249">
        <f>IF($D46="","",VLOOKUP($D46,CTPit!$E$10:$BG$72,O$40,FALSE))</f>
        <v>8</v>
      </c>
      <c r="P46" s="249">
        <f>IF($D46="","",VLOOKUP($D46,CTPit!$E$10:$BG$72,P$40,FALSE))</f>
        <v>10</v>
      </c>
      <c r="Q46" s="249" t="str">
        <f>IF($D46="","",VLOOKUP($D46,CTPit!$E$10:$BG$72,Q$40,FALSE))</f>
        <v>-</v>
      </c>
      <c r="R46" s="249">
        <f>IF($D46="","",VLOOKUP($D46,CTPit!$E$10:$BG$72,R$40,FALSE))</f>
        <v>8</v>
      </c>
      <c r="S46" s="249" t="str">
        <f>IF($D46="","",VLOOKUP($D46,CTPit!$E$10:$BG$72,S$40,FALSE))</f>
        <v>-</v>
      </c>
      <c r="T46" s="249" t="str">
        <f>IF($D46="","",VLOOKUP($D46,CTPit!$E$10:$BG$72,T$40,FALSE))</f>
        <v>-</v>
      </c>
      <c r="U46" s="249" t="str">
        <f>IF($D46="","",VLOOKUP($D46,CTPit!$E$10:$BG$72,U$40,FALSE))</f>
        <v>-</v>
      </c>
      <c r="V46" s="249" t="str">
        <f>IF($D46="","",VLOOKUP($D46,CTPit!$E$10:$BG$72,V$40,FALSE))</f>
        <v>-</v>
      </c>
      <c r="W46" s="249" t="str">
        <f>IF($D46="","",VLOOKUP($D46,CTPit!$E$10:$BG$72,W$40,FALSE))</f>
        <v>-</v>
      </c>
      <c r="X46" s="249" t="str">
        <f>IF($D46="","",VLOOKUP($D46,CTPit!$E$10:$BG$72,X$40,FALSE))</f>
        <v>-</v>
      </c>
      <c r="Y46" s="249" t="str">
        <f>IF($D46="","",VLOOKUP($D46,CTPit!$E$10:$BG$72,Y$40,FALSE))</f>
        <v>-</v>
      </c>
      <c r="Z46" s="250" t="str">
        <f>IF($D46="","",VLOOKUP($D46,CTPit!$E$10:$BG$72,Z$40,FALSE))</f>
        <v>-</v>
      </c>
      <c r="AA46" s="53" t="str">
        <f>IF($D46="","",VLOOKUP($D46,CTPit!$E$10:$BG$72,AA$40,FALSE))</f>
        <v>93-95 Mph</v>
      </c>
      <c r="AB46" s="249">
        <f>IF($D46="","",VLOOKUP($D46,CTPit!$E$10:$BG$72,AB$40,FALSE))</f>
        <v>8</v>
      </c>
      <c r="AC46" s="80">
        <f>IF($D46="","",VLOOKUP($D46,CTPit!$E$10:$BG$72,AC$40,FALSE))</f>
        <v>0.37</v>
      </c>
    </row>
    <row r="47" spans="1:29">
      <c r="A47" s="249">
        <v>6</v>
      </c>
      <c r="B47" s="264"/>
      <c r="C47" s="39" t="s">
        <v>130</v>
      </c>
      <c r="D47" s="254" t="s">
        <v>452</v>
      </c>
      <c r="E47" s="40">
        <f>IF($D47="","",VLOOKUP($D47,CTPit!$E$10:$BG$214,E$1,FALSE))</f>
        <v>23</v>
      </c>
      <c r="F47" s="42" t="str">
        <f>IF($D47="","",VLOOKUP($D47,CTPit!$E$10:$BG$214,F$1+1,FALSE))</f>
        <v>L</v>
      </c>
      <c r="G47" s="247">
        <f t="shared" si="87"/>
        <v>0</v>
      </c>
      <c r="H47" s="247">
        <f t="shared" si="88"/>
        <v>0</v>
      </c>
      <c r="I47" s="247">
        <f t="shared" si="89"/>
        <v>0</v>
      </c>
      <c r="J47" s="101" t="str">
        <f>IF($D47="","",VLOOKUP($D47,CTPit!$E$10:$BG$72,J$40,FALSE))</f>
        <v>L</v>
      </c>
      <c r="K47" s="78">
        <f t="shared" si="90"/>
        <v>3</v>
      </c>
      <c r="L47" s="247">
        <f>IF($D47="","",VLOOKUP($D47,CTPit!$E$10:$BG$72,L$40,FALSE))</f>
        <v>7</v>
      </c>
      <c r="M47" s="247">
        <f>IF($D47="","",VLOOKUP($D47,CTPit!$E$10:$BG$72,M$40,FALSE))</f>
        <v>5</v>
      </c>
      <c r="N47" s="248">
        <f>IF($D47="","",VLOOKUP($D47,CTPit!$E$10:$BG$72,N$40,FALSE))</f>
        <v>5</v>
      </c>
      <c r="O47" s="247">
        <f>IF($D47="","",VLOOKUP($D47,CTPit!$E$10:$BG$72,O$40,FALSE))</f>
        <v>7</v>
      </c>
      <c r="P47" s="247">
        <f>IF($D47="","",VLOOKUP($D47,CTPit!$E$10:$BG$72,P$40,FALSE))</f>
        <v>9</v>
      </c>
      <c r="Q47" s="247" t="str">
        <f>IF($D47="","",VLOOKUP($D47,CTPit!$E$10:$BG$72,Q$40,FALSE))</f>
        <v>-</v>
      </c>
      <c r="R47" s="247">
        <f>IF($D47="","",VLOOKUP($D47,CTPit!$E$10:$BG$72,R$40,FALSE))</f>
        <v>8</v>
      </c>
      <c r="S47" s="247" t="str">
        <f>IF($D47="","",VLOOKUP($D47,CTPit!$E$10:$BG$72,S$40,FALSE))</f>
        <v>-</v>
      </c>
      <c r="T47" s="247" t="str">
        <f>IF($D47="","",VLOOKUP($D47,CTPit!$E$10:$BG$72,T$40,FALSE))</f>
        <v>-</v>
      </c>
      <c r="U47" s="247" t="str">
        <f>IF($D47="","",VLOOKUP($D47,CTPit!$E$10:$BG$72,U$40,FALSE))</f>
        <v>-</v>
      </c>
      <c r="V47" s="247" t="str">
        <f>IF($D47="","",VLOOKUP($D47,CTPit!$E$10:$BG$72,V$40,FALSE))</f>
        <v>-</v>
      </c>
      <c r="W47" s="247" t="str">
        <f>IF($D47="","",VLOOKUP($D47,CTPit!$E$10:$BG$72,W$40,FALSE))</f>
        <v>-</v>
      </c>
      <c r="X47" s="247" t="str">
        <f>IF($D47="","",VLOOKUP($D47,CTPit!$E$10:$BG$72,X$40,FALSE))</f>
        <v>-</v>
      </c>
      <c r="Y47" s="247" t="str">
        <f>IF($D47="","",VLOOKUP($D47,CTPit!$E$10:$BG$72,Y$40,FALSE))</f>
        <v>-</v>
      </c>
      <c r="Z47" s="248" t="str">
        <f>IF($D47="","",VLOOKUP($D47,CTPit!$E$10:$BG$72,Z$40,FALSE))</f>
        <v>-</v>
      </c>
      <c r="AA47" s="54" t="str">
        <f>IF($D47="","",VLOOKUP($D47,CTPit!$E$10:$BG$72,AA$40,FALSE))</f>
        <v>92-94 Mph</v>
      </c>
      <c r="AB47" s="247">
        <f>IF($D47="","",VLOOKUP($D47,CTPit!$E$10:$BG$72,AB$40,FALSE))</f>
        <v>10</v>
      </c>
      <c r="AC47" s="81">
        <f>IF($D47="","",VLOOKUP($D47,CTPit!$E$10:$BG$72,AC$40,FALSE))</f>
        <v>0.42</v>
      </c>
    </row>
    <row r="48" spans="1:29">
      <c r="AA48" s="249"/>
      <c r="AB48" s="249"/>
      <c r="AC48" s="249"/>
    </row>
    <row r="49" spans="1:34" ht="57">
      <c r="A49" s="25" t="s">
        <v>196</v>
      </c>
      <c r="B49" s="259" t="s">
        <v>520</v>
      </c>
      <c r="C49" s="244" t="s">
        <v>131</v>
      </c>
      <c r="D49" s="44" t="s">
        <v>121</v>
      </c>
      <c r="E49" s="44" t="s">
        <v>94</v>
      </c>
      <c r="F49" s="44" t="s">
        <v>105</v>
      </c>
      <c r="G49" s="55" t="s">
        <v>193</v>
      </c>
      <c r="H49" s="47" t="s">
        <v>194</v>
      </c>
      <c r="I49" s="56" t="s">
        <v>195</v>
      </c>
      <c r="J49" s="76" t="s">
        <v>217</v>
      </c>
      <c r="K49" s="47" t="s">
        <v>192</v>
      </c>
      <c r="L49" s="79" t="s">
        <v>189</v>
      </c>
      <c r="M49" s="74" t="s">
        <v>190</v>
      </c>
      <c r="N49" s="75" t="s">
        <v>191</v>
      </c>
      <c r="O49" s="74" t="s">
        <v>63</v>
      </c>
      <c r="P49" s="74" t="s">
        <v>65</v>
      </c>
      <c r="Q49" s="74" t="s">
        <v>67</v>
      </c>
      <c r="R49" s="74" t="s">
        <v>69</v>
      </c>
      <c r="S49" s="74" t="s">
        <v>71</v>
      </c>
      <c r="T49" s="74" t="s">
        <v>111</v>
      </c>
      <c r="U49" s="74" t="s">
        <v>74</v>
      </c>
      <c r="V49" s="74" t="s">
        <v>76</v>
      </c>
      <c r="W49" s="74" t="s">
        <v>78</v>
      </c>
      <c r="X49" s="74" t="s">
        <v>80</v>
      </c>
      <c r="Y49" s="74" t="s">
        <v>82</v>
      </c>
      <c r="Z49" s="75" t="s">
        <v>84</v>
      </c>
      <c r="AA49" s="79" t="s">
        <v>203</v>
      </c>
      <c r="AB49" s="74" t="s">
        <v>202</v>
      </c>
      <c r="AC49" s="75" t="s">
        <v>204</v>
      </c>
    </row>
    <row r="50" spans="1:34">
      <c r="A50">
        <v>1</v>
      </c>
      <c r="B50" s="263" t="s">
        <v>244</v>
      </c>
      <c r="C50" s="36" t="s">
        <v>112</v>
      </c>
      <c r="D50" s="37" t="s">
        <v>16</v>
      </c>
      <c r="E50" s="37">
        <f>IF($D50="","",VLOOKUP($D50,CTPit!$E$10:$BG$214,E$1,FALSE))</f>
        <v>27</v>
      </c>
      <c r="F50" s="37" t="str">
        <f>IF($D50="","",VLOOKUP($D50,CTPit!$E$10:$BG$214,F$1+1,FALSE))</f>
        <v>R</v>
      </c>
      <c r="G50" s="53">
        <f>IF($D50="","",IF(AVERAGE(L50:N50)&gt;7,1,0))</f>
        <v>0</v>
      </c>
      <c r="H50" s="249">
        <f>IF($D50="","",IF(AVERAGE(L50:N50)&gt;6.5,1,0))</f>
        <v>1</v>
      </c>
      <c r="I50" s="250">
        <f>IF($D50="","",IF(AVERAGE(L50:N50)&gt;6,1,0))</f>
        <v>1</v>
      </c>
      <c r="J50" s="99" t="str">
        <f>IF($D50="","",VLOOKUP($D50,CTPit!$E$10:$BG$72,J$40,FALSE))</f>
        <v>R</v>
      </c>
      <c r="K50" s="249">
        <f>IF($D50="","",COUNT(O50:Z50))</f>
        <v>3</v>
      </c>
      <c r="L50" s="53">
        <f>IF($D50="","",VLOOKUP($D50,CTPit!$E$10:$BG$72,L$40,FALSE))</f>
        <v>8</v>
      </c>
      <c r="M50" s="249">
        <f>IF($D50="","",VLOOKUP($D50,CTPit!$E$10:$BG$72,M$40,FALSE))</f>
        <v>6</v>
      </c>
      <c r="N50" s="250">
        <f>IF($D50="","",VLOOKUP($D50,CTPit!$E$10:$BG$72,N$40,FALSE))</f>
        <v>7</v>
      </c>
      <c r="O50" s="249">
        <f>IF($D50="","",VLOOKUP($D50,CTPit!$E$10:$BG$72,O$40,FALSE))</f>
        <v>8</v>
      </c>
      <c r="P50" s="249">
        <f>IF($D50="","",VLOOKUP($D50,CTPit!$E$10:$BG$72,P$40,FALSE))</f>
        <v>1</v>
      </c>
      <c r="Q50" s="249" t="str">
        <f>IF($D50="","",VLOOKUP($D50,CTPit!$E$10:$BG$72,Q$40,FALSE))</f>
        <v>-</v>
      </c>
      <c r="R50" s="249">
        <f>IF($D50="","",VLOOKUP($D50,CTPit!$E$10:$BG$72,R$40,FALSE))</f>
        <v>8</v>
      </c>
      <c r="S50" s="249" t="str">
        <f>IF($D50="","",VLOOKUP($D50,CTPit!$E$10:$BG$72,S$40,FALSE))</f>
        <v>-</v>
      </c>
      <c r="T50" s="249" t="str">
        <f>IF($D50="","",VLOOKUP($D50,CTPit!$E$10:$BG$72,T$40,FALSE))</f>
        <v>-</v>
      </c>
      <c r="U50" s="249" t="str">
        <f>IF($D50="","",VLOOKUP($D50,CTPit!$E$10:$BG$72,U$40,FALSE))</f>
        <v>-</v>
      </c>
      <c r="V50" s="249" t="str">
        <f>IF($D50="","",VLOOKUP($D50,CTPit!$E$10:$BG$72,V$40,FALSE))</f>
        <v>-</v>
      </c>
      <c r="W50" s="249" t="str">
        <f>IF($D50="","",VLOOKUP($D50,CTPit!$E$10:$BG$72,W$40,FALSE))</f>
        <v>-</v>
      </c>
      <c r="X50" s="249" t="str">
        <f>IF($D50="","",VLOOKUP($D50,CTPit!$E$10:$BG$72,X$40,FALSE))</f>
        <v>-</v>
      </c>
      <c r="Y50" s="249" t="str">
        <f>IF($D50="","",VLOOKUP($D50,CTPit!$E$10:$BG$72,Y$40,FALSE))</f>
        <v>-</v>
      </c>
      <c r="Z50" s="250" t="str">
        <f>IF($D50="","",VLOOKUP($D50,CTPit!$E$10:$BG$72,Z$40,FALSE))</f>
        <v>-</v>
      </c>
      <c r="AA50" s="53" t="str">
        <f>IF($D50="","",VLOOKUP($D50,CTPit!$E$10:$BG$72,AA$40,FALSE))</f>
        <v>95-97 Mph</v>
      </c>
      <c r="AB50" s="249">
        <f>IF($D50="","",VLOOKUP($D50,CTPit!$E$10:$BG$72,AB$40,FALSE))</f>
        <v>4</v>
      </c>
      <c r="AC50" s="80">
        <f>IF($D50="","",VLOOKUP($D50,CTPit!$E$10:$BG$72,AC$40,FALSE))</f>
        <v>0.36</v>
      </c>
      <c r="AH50" t="s">
        <v>16</v>
      </c>
    </row>
    <row r="51" spans="1:34">
      <c r="A51">
        <v>2</v>
      </c>
      <c r="B51" s="264"/>
      <c r="C51" s="39" t="s">
        <v>132</v>
      </c>
      <c r="D51" s="40"/>
      <c r="E51" s="40" t="str">
        <f>IF($D51="","",VLOOKUP($D51,CTPit!$E$10:$BG$214,E$1,FALSE))</f>
        <v/>
      </c>
      <c r="F51" s="40" t="str">
        <f>IF($D51="","",VLOOKUP($D51,CTPit!$E$10:$BG$214,F$1+1,FALSE))</f>
        <v/>
      </c>
      <c r="G51" s="54" t="str">
        <f>IF($D51="","",IF(AVERAGE(L51:N51)&gt;7,1,0))</f>
        <v/>
      </c>
      <c r="H51" s="247" t="str">
        <f>IF($D51="","",IF(AVERAGE(L51:N51)&gt;6.5,1,0))</f>
        <v/>
      </c>
      <c r="I51" s="248" t="str">
        <f>IF($D51="","",IF(AVERAGE(L51:N51)&gt;6,1,0))</f>
        <v/>
      </c>
      <c r="J51" s="101" t="str">
        <f>IF($D51="","",VLOOKUP($D51,CTPit!$E$10:$BG$72,J$40,FALSE))</f>
        <v/>
      </c>
      <c r="K51" s="247" t="str">
        <f>IF($D51="","",COUNT(O51:Z51))</f>
        <v/>
      </c>
      <c r="L51" s="54" t="str">
        <f>IF($D51="","",VLOOKUP($D51,CTPit!$E$10:$BG$72,L$40,FALSE))</f>
        <v/>
      </c>
      <c r="M51" s="247" t="str">
        <f>IF($D51="","",VLOOKUP($D51,CTPit!$E$10:$BG$72,M$40,FALSE))</f>
        <v/>
      </c>
      <c r="N51" s="248" t="str">
        <f>IF($D51="","",VLOOKUP($D51,CTPit!$E$10:$BG$72,N$40,FALSE))</f>
        <v/>
      </c>
      <c r="O51" s="247" t="str">
        <f>IF($D51="","",VLOOKUP($D51,CTPit!$E$10:$BG$72,O$40,FALSE))</f>
        <v/>
      </c>
      <c r="P51" s="247" t="str">
        <f>IF($D51="","",VLOOKUP($D51,CTPit!$E$10:$BG$72,P$40,FALSE))</f>
        <v/>
      </c>
      <c r="Q51" s="247" t="str">
        <f>IF($D51="","",VLOOKUP($D51,CTPit!$E$10:$BG$72,Q$40,FALSE))</f>
        <v/>
      </c>
      <c r="R51" s="247" t="str">
        <f>IF($D51="","",VLOOKUP($D51,CTPit!$E$10:$BG$72,R$40,FALSE))</f>
        <v/>
      </c>
      <c r="S51" s="247" t="str">
        <f>IF($D51="","",VLOOKUP($D51,CTPit!$E$10:$BG$72,S$40,FALSE))</f>
        <v/>
      </c>
      <c r="T51" s="247" t="str">
        <f>IF($D51="","",VLOOKUP($D51,CTPit!$E$10:$BG$72,T$40,FALSE))</f>
        <v/>
      </c>
      <c r="U51" s="247" t="str">
        <f>IF($D51="","",VLOOKUP($D51,CTPit!$E$10:$BG$72,U$40,FALSE))</f>
        <v/>
      </c>
      <c r="V51" s="247" t="str">
        <f>IF($D51="","",VLOOKUP($D51,CTPit!$E$10:$BG$72,V$40,FALSE))</f>
        <v/>
      </c>
      <c r="W51" s="247" t="str">
        <f>IF($D51="","",VLOOKUP($D51,CTPit!$E$10:$BG$72,W$40,FALSE))</f>
        <v/>
      </c>
      <c r="X51" s="247" t="str">
        <f>IF($D51="","",VLOOKUP($D51,CTPit!$E$10:$BG$72,X$40,FALSE))</f>
        <v/>
      </c>
      <c r="Y51" s="247" t="str">
        <f>IF($D51="","",VLOOKUP($D51,CTPit!$E$10:$BG$72,Y$40,FALSE))</f>
        <v/>
      </c>
      <c r="Z51" s="248" t="str">
        <f>IF($D51="","",VLOOKUP($D51,CTPit!$E$10:$BG$72,Z$40,FALSE))</f>
        <v/>
      </c>
      <c r="AA51" s="54" t="str">
        <f>IF($D51="","",VLOOKUP($D51,CTPit!$E$10:$BG$72,AA$40,FALSE))</f>
        <v/>
      </c>
      <c r="AB51" s="247" t="str">
        <f>IF($D51="","",VLOOKUP($D51,CTPit!$E$10:$BG$72,AB$40,FALSE))</f>
        <v/>
      </c>
      <c r="AC51" s="81" t="str">
        <f>IF($D51="","",VLOOKUP($D51,CTPit!$E$10:$BG$72,AC$40,FALSE))</f>
        <v/>
      </c>
    </row>
    <row r="52" spans="1:34">
      <c r="AA52" s="249"/>
      <c r="AB52" s="249"/>
      <c r="AC52" s="249"/>
    </row>
    <row r="53" spans="1:34" ht="57">
      <c r="A53" s="25" t="s">
        <v>196</v>
      </c>
      <c r="B53" s="259" t="s">
        <v>520</v>
      </c>
      <c r="C53" s="244" t="s">
        <v>133</v>
      </c>
      <c r="D53" s="44" t="s">
        <v>121</v>
      </c>
      <c r="E53" s="44" t="s">
        <v>94</v>
      </c>
      <c r="F53" s="44" t="s">
        <v>105</v>
      </c>
      <c r="G53" s="55" t="s">
        <v>193</v>
      </c>
      <c r="H53" s="47" t="s">
        <v>194</v>
      </c>
      <c r="I53" s="56" t="s">
        <v>195</v>
      </c>
      <c r="J53" s="76" t="s">
        <v>217</v>
      </c>
      <c r="K53" s="47" t="s">
        <v>192</v>
      </c>
      <c r="L53" s="79" t="s">
        <v>189</v>
      </c>
      <c r="M53" s="74" t="s">
        <v>190</v>
      </c>
      <c r="N53" s="75" t="s">
        <v>191</v>
      </c>
      <c r="O53" s="74" t="s">
        <v>63</v>
      </c>
      <c r="P53" s="74" t="s">
        <v>65</v>
      </c>
      <c r="Q53" s="74" t="s">
        <v>67</v>
      </c>
      <c r="R53" s="74" t="s">
        <v>69</v>
      </c>
      <c r="S53" s="74" t="s">
        <v>71</v>
      </c>
      <c r="T53" s="74" t="s">
        <v>111</v>
      </c>
      <c r="U53" s="74" t="s">
        <v>74</v>
      </c>
      <c r="V53" s="74" t="s">
        <v>76</v>
      </c>
      <c r="W53" s="74" t="s">
        <v>78</v>
      </c>
      <c r="X53" s="74" t="s">
        <v>80</v>
      </c>
      <c r="Y53" s="74" t="s">
        <v>82</v>
      </c>
      <c r="Z53" s="75" t="s">
        <v>84</v>
      </c>
      <c r="AA53" s="79" t="s">
        <v>203</v>
      </c>
      <c r="AB53" s="74" t="s">
        <v>202</v>
      </c>
      <c r="AC53" s="75" t="s">
        <v>204</v>
      </c>
    </row>
    <row r="54" spans="1:34">
      <c r="A54">
        <v>1</v>
      </c>
      <c r="B54" s="263">
        <v>2019</v>
      </c>
      <c r="C54" s="36" t="s">
        <v>134</v>
      </c>
      <c r="D54" s="37" t="s">
        <v>507</v>
      </c>
      <c r="E54" s="37">
        <f>IF($D54="","",VLOOKUP($D54,CTPit!$E$10:$BG$214,E$1,FALSE))</f>
        <v>23</v>
      </c>
      <c r="F54" s="37" t="str">
        <f>IF($D54="","",VLOOKUP($D54,CTPit!$E$10:$BG$214,F$1+1,FALSE))</f>
        <v>L</v>
      </c>
      <c r="G54" s="53">
        <f t="shared" ref="G54:G59" si="91">IF($D54="","",IF(AVERAGE(L54:N54)&gt;7,1,0))</f>
        <v>0</v>
      </c>
      <c r="H54" s="249">
        <f t="shared" ref="H54:H59" si="92">IF($D54="","",IF(AVERAGE(L54:N54)&gt;6.5,1,0))</f>
        <v>1</v>
      </c>
      <c r="I54" s="250">
        <f t="shared" ref="I54:I59" si="93">IF($D54="","",IF(AVERAGE(L54:N54)&gt;6,1,0))</f>
        <v>1</v>
      </c>
      <c r="J54" s="100" t="str">
        <f>IF($D54="","",VLOOKUP($D54,CTPit!$E$10:$BG$72,J$40,FALSE))</f>
        <v>L</v>
      </c>
      <c r="K54" s="249">
        <f t="shared" ref="K54:K59" si="94">IF($D54="","",COUNT(O54:Z54))</f>
        <v>2</v>
      </c>
      <c r="L54" s="53">
        <f>IF($D54="","",VLOOKUP($D54,CTPit!$E$10:$BG$72,L$40,FALSE))</f>
        <v>7</v>
      </c>
      <c r="M54" s="249">
        <f>IF($D54="","",VLOOKUP($D54,CTPit!$E$10:$BG$72,M$40,FALSE))</f>
        <v>6</v>
      </c>
      <c r="N54" s="250">
        <f>IF($D54="","",VLOOKUP($D54,CTPit!$E$10:$BG$72,N$40,FALSE))</f>
        <v>8</v>
      </c>
      <c r="O54" s="249">
        <f>IF($D54="","",VLOOKUP($D54,CTPit!$E$10:$BG$72,O$40,FALSE))</f>
        <v>7</v>
      </c>
      <c r="P54" s="249" t="str">
        <f>IF($D54="","",VLOOKUP($D54,CTPit!$E$10:$BG$72,P$40,FALSE))</f>
        <v>-</v>
      </c>
      <c r="Q54" s="249">
        <f>IF($D54="","",VLOOKUP($D54,CTPit!$E$10:$BG$72,Q$40,FALSE))</f>
        <v>6</v>
      </c>
      <c r="R54" s="249" t="str">
        <f>IF($D54="","",VLOOKUP($D54,CTPit!$E$10:$BG$72,R$40,FALSE))</f>
        <v>-</v>
      </c>
      <c r="S54" s="249" t="str">
        <f>IF($D54="","",VLOOKUP($D54,CTPit!$E$10:$BG$72,S$40,FALSE))</f>
        <v>-</v>
      </c>
      <c r="T54" s="249" t="str">
        <f>IF($D54="","",VLOOKUP($D54,CTPit!$E$10:$BG$72,T$40,FALSE))</f>
        <v>-</v>
      </c>
      <c r="U54" s="249" t="str">
        <f>IF($D54="","",VLOOKUP($D54,CTPit!$E$10:$BG$72,U$40,FALSE))</f>
        <v>-</v>
      </c>
      <c r="V54" s="249" t="str">
        <f>IF($D54="","",VLOOKUP($D54,CTPit!$E$10:$BG$72,V$40,FALSE))</f>
        <v>-</v>
      </c>
      <c r="W54" s="249" t="str">
        <f>IF($D54="","",VLOOKUP($D54,CTPit!$E$10:$BG$72,W$40,FALSE))</f>
        <v>-</v>
      </c>
      <c r="X54" s="249" t="str">
        <f>IF($D54="","",VLOOKUP($D54,CTPit!$E$10:$BG$72,X$40,FALSE))</f>
        <v>-</v>
      </c>
      <c r="Y54" s="249" t="str">
        <f>IF($D54="","",VLOOKUP($D54,CTPit!$E$10:$BG$72,Y$40,FALSE))</f>
        <v>-</v>
      </c>
      <c r="Z54" s="250" t="str">
        <f>IF($D54="","",VLOOKUP($D54,CTPit!$E$10:$BG$72,Z$40,FALSE))</f>
        <v>-</v>
      </c>
      <c r="AA54" s="53" t="str">
        <f>IF($D54="","",VLOOKUP($D54,CTPit!$E$10:$BG$72,AA$40,FALSE))</f>
        <v>94-96 Mph</v>
      </c>
      <c r="AB54" s="249">
        <f>IF($D54="","",VLOOKUP($D54,CTPit!$E$10:$BG$72,AB$40,FALSE))</f>
        <v>1</v>
      </c>
      <c r="AC54" s="80">
        <f>IF($D54="","",VLOOKUP($D54,CTPit!$E$10:$BG$72,AC$40,FALSE))</f>
        <v>0.52</v>
      </c>
      <c r="AH54" t="s">
        <v>9</v>
      </c>
    </row>
    <row r="55" spans="1:34">
      <c r="A55">
        <v>2</v>
      </c>
      <c r="B55" s="266">
        <v>2019</v>
      </c>
      <c r="C55" s="36" t="s">
        <v>135</v>
      </c>
      <c r="D55" s="65" t="s">
        <v>508</v>
      </c>
      <c r="E55" s="37">
        <f>IF($D55="","",VLOOKUP($D55,CTPit!$E$10:$BG$214,E$1,FALSE))</f>
        <v>22</v>
      </c>
      <c r="F55" s="37" t="str">
        <f>IF($D55="","",VLOOKUP($D55,CTPit!$E$10:$BG$214,F$1+1,FALSE))</f>
        <v>R</v>
      </c>
      <c r="G55" s="53">
        <f t="shared" si="91"/>
        <v>0</v>
      </c>
      <c r="H55" s="249">
        <f t="shared" si="92"/>
        <v>0</v>
      </c>
      <c r="I55" s="250">
        <f t="shared" si="93"/>
        <v>1</v>
      </c>
      <c r="J55" s="100" t="str">
        <f>IF($D55="","",VLOOKUP($D55,CTPit!$E$10:$BG$72,J$40,FALSE))</f>
        <v>R</v>
      </c>
      <c r="K55" s="249">
        <f t="shared" si="94"/>
        <v>2</v>
      </c>
      <c r="L55" s="53">
        <f>IF($D55="","",VLOOKUP($D55,CTPit!$E$10:$BG$72,L$40,FALSE))</f>
        <v>10</v>
      </c>
      <c r="M55" s="249">
        <f>IF($D55="","",VLOOKUP($D55,CTPit!$E$10:$BG$72,M$40,FALSE))</f>
        <v>4</v>
      </c>
      <c r="N55" s="250">
        <f>IF($D55="","",VLOOKUP($D55,CTPit!$E$10:$BG$72,N$40,FALSE))</f>
        <v>5</v>
      </c>
      <c r="O55" s="249">
        <f>IF($D55="","",VLOOKUP($D55,CTPit!$E$10:$BG$72,O$40,FALSE))</f>
        <v>10</v>
      </c>
      <c r="P55" s="249" t="str">
        <f>IF($D55="","",VLOOKUP($D55,CTPit!$E$10:$BG$72,P$40,FALSE))</f>
        <v>-</v>
      </c>
      <c r="Q55" s="249">
        <f>IF($D55="","",VLOOKUP($D55,CTPit!$E$10:$BG$72,Q$40,FALSE))</f>
        <v>5</v>
      </c>
      <c r="R55" s="249" t="str">
        <f>IF($D55="","",VLOOKUP($D55,CTPit!$E$10:$BG$72,R$40,FALSE))</f>
        <v>-</v>
      </c>
      <c r="S55" s="249" t="str">
        <f>IF($D55="","",VLOOKUP($D55,CTPit!$E$10:$BG$72,S$40,FALSE))</f>
        <v>-</v>
      </c>
      <c r="T55" s="249" t="str">
        <f>IF($D55="","",VLOOKUP($D55,CTPit!$E$10:$BG$72,T$40,FALSE))</f>
        <v>-</v>
      </c>
      <c r="U55" s="249" t="str">
        <f>IF($D55="","",VLOOKUP($D55,CTPit!$E$10:$BG$72,U$40,FALSE))</f>
        <v>-</v>
      </c>
      <c r="V55" s="249" t="str">
        <f>IF($D55="","",VLOOKUP($D55,CTPit!$E$10:$BG$72,V$40,FALSE))</f>
        <v>-</v>
      </c>
      <c r="W55" s="249" t="str">
        <f>IF($D55="","",VLOOKUP($D55,CTPit!$E$10:$BG$72,W$40,FALSE))</f>
        <v>-</v>
      </c>
      <c r="X55" s="249" t="str">
        <f>IF($D55="","",VLOOKUP($D55,CTPit!$E$10:$BG$72,X$40,FALSE))</f>
        <v>-</v>
      </c>
      <c r="Y55" s="249" t="str">
        <f>IF($D55="","",VLOOKUP($D55,CTPit!$E$10:$BG$72,Y$40,FALSE))</f>
        <v>-</v>
      </c>
      <c r="Z55" s="250" t="str">
        <f>IF($D55="","",VLOOKUP($D55,CTPit!$E$10:$BG$72,Z$40,FALSE))</f>
        <v>-</v>
      </c>
      <c r="AA55" s="53" t="str">
        <f>IF($D55="","",VLOOKUP($D55,CTPit!$E$10:$BG$72,AA$40,FALSE))</f>
        <v>99-101 Mph</v>
      </c>
      <c r="AB55" s="249">
        <f>IF($D55="","",VLOOKUP($D55,CTPit!$E$10:$BG$72,AB$40,FALSE))</f>
        <v>2</v>
      </c>
      <c r="AC55" s="80">
        <f>IF($D55="","",VLOOKUP($D55,CTPit!$E$10:$BG$72,AC$40,FALSE))</f>
        <v>0.41</v>
      </c>
      <c r="AH55" t="s">
        <v>17</v>
      </c>
    </row>
    <row r="56" spans="1:34">
      <c r="A56">
        <v>3</v>
      </c>
      <c r="B56" s="266" t="s">
        <v>244</v>
      </c>
      <c r="C56" s="36" t="s">
        <v>19</v>
      </c>
      <c r="D56" s="65" t="s">
        <v>17</v>
      </c>
      <c r="E56" s="37">
        <f>IF($D56="","",VLOOKUP($D56,CTPit!$E$10:$BG$214,E$1,FALSE))</f>
        <v>25</v>
      </c>
      <c r="F56" s="37" t="str">
        <f>IF($D56="","",VLOOKUP($D56,CTPit!$E$10:$BG$214,F$1+1,FALSE))</f>
        <v>L</v>
      </c>
      <c r="G56" s="53">
        <f t="shared" si="91"/>
        <v>0</v>
      </c>
      <c r="H56" s="249">
        <f t="shared" si="92"/>
        <v>0</v>
      </c>
      <c r="I56" s="250">
        <f t="shared" si="93"/>
        <v>1</v>
      </c>
      <c r="J56" s="100" t="str">
        <f>IF($D56="","",VLOOKUP($D56,CTPit!$E$10:$BG$72,J$40,FALSE))</f>
        <v>L</v>
      </c>
      <c r="K56" s="249">
        <f t="shared" si="94"/>
        <v>2</v>
      </c>
      <c r="L56" s="53">
        <f>IF($D56="","",VLOOKUP($D56,CTPit!$E$10:$BG$72,L$40,FALSE))</f>
        <v>6</v>
      </c>
      <c r="M56" s="249">
        <f>IF($D56="","",VLOOKUP($D56,CTPit!$E$10:$BG$72,M$40,FALSE))</f>
        <v>7</v>
      </c>
      <c r="N56" s="250">
        <f>IF($D56="","",VLOOKUP($D56,CTPit!$E$10:$BG$72,N$40,FALSE))</f>
        <v>6</v>
      </c>
      <c r="O56" s="249">
        <f>IF($D56="","",VLOOKUP($D56,CTPit!$E$10:$BG$72,O$40,FALSE))</f>
        <v>7</v>
      </c>
      <c r="P56" s="249" t="str">
        <f>IF($D56="","",VLOOKUP($D56,CTPit!$E$10:$BG$72,P$40,FALSE))</f>
        <v>-</v>
      </c>
      <c r="Q56" s="249" t="str">
        <f>IF($D56="","",VLOOKUP($D56,CTPit!$E$10:$BG$72,Q$40,FALSE))</f>
        <v>-</v>
      </c>
      <c r="R56" s="249" t="str">
        <f>IF($D56="","",VLOOKUP($D56,CTPit!$E$10:$BG$72,R$40,FALSE))</f>
        <v>-</v>
      </c>
      <c r="S56" s="249" t="str">
        <f>IF($D56="","",VLOOKUP($D56,CTPit!$E$10:$BG$72,S$40,FALSE))</f>
        <v>-</v>
      </c>
      <c r="T56" s="249">
        <f>IF($D56="","",VLOOKUP($D56,CTPit!$E$10:$BG$72,T$40,FALSE))</f>
        <v>7</v>
      </c>
      <c r="U56" s="249" t="str">
        <f>IF($D56="","",VLOOKUP($D56,CTPit!$E$10:$BG$72,U$40,FALSE))</f>
        <v>-</v>
      </c>
      <c r="V56" s="249" t="str">
        <f>IF($D56="","",VLOOKUP($D56,CTPit!$E$10:$BG$72,V$40,FALSE))</f>
        <v>-</v>
      </c>
      <c r="W56" s="249" t="str">
        <f>IF($D56="","",VLOOKUP($D56,CTPit!$E$10:$BG$72,W$40,FALSE))</f>
        <v>-</v>
      </c>
      <c r="X56" s="249" t="str">
        <f>IF($D56="","",VLOOKUP($D56,CTPit!$E$10:$BG$72,X$40,FALSE))</f>
        <v>-</v>
      </c>
      <c r="Y56" s="249" t="str">
        <f>IF($D56="","",VLOOKUP($D56,CTPit!$E$10:$BG$72,Y$40,FALSE))</f>
        <v>-</v>
      </c>
      <c r="Z56" s="250" t="str">
        <f>IF($D56="","",VLOOKUP($D56,CTPit!$E$10:$BG$72,Z$40,FALSE))</f>
        <v>-</v>
      </c>
      <c r="AA56" s="53" t="str">
        <f>IF($D56="","",VLOOKUP($D56,CTPit!$E$10:$BG$72,AA$40,FALSE))</f>
        <v>92-94 Mph</v>
      </c>
      <c r="AB56" s="249">
        <f>IF($D56="","",VLOOKUP($D56,CTPit!$E$10:$BG$72,AB$40,FALSE))</f>
        <v>1</v>
      </c>
      <c r="AC56" s="80">
        <f>IF($D56="","",VLOOKUP($D56,CTPit!$E$10:$BG$72,AC$40,FALSE))</f>
        <v>0.51</v>
      </c>
      <c r="AH56" t="s">
        <v>49</v>
      </c>
    </row>
    <row r="57" spans="1:34">
      <c r="A57">
        <v>4</v>
      </c>
      <c r="B57" s="263">
        <v>2019</v>
      </c>
      <c r="C57" s="36" t="s">
        <v>19</v>
      </c>
      <c r="D57" s="65" t="s">
        <v>445</v>
      </c>
      <c r="E57" s="37">
        <f>IF($D57="","",VLOOKUP($D57,CTPit!$E$10:$BG$214,E$1,FALSE))</f>
        <v>22</v>
      </c>
      <c r="F57" s="37" t="str">
        <f>IF($D57="","",VLOOKUP($D57,CTPit!$E$10:$BG$214,F$1+1,FALSE))</f>
        <v>R</v>
      </c>
      <c r="G57" s="53">
        <f t="shared" si="91"/>
        <v>0</v>
      </c>
      <c r="H57" s="249">
        <f t="shared" si="92"/>
        <v>0</v>
      </c>
      <c r="I57" s="250">
        <f t="shared" si="93"/>
        <v>1</v>
      </c>
      <c r="J57" s="100" t="str">
        <f>IF($D57="","",VLOOKUP($D57,CTPit!$E$10:$BG$72,J$40,FALSE))</f>
        <v>R</v>
      </c>
      <c r="K57" s="249">
        <f t="shared" si="94"/>
        <v>2</v>
      </c>
      <c r="L57" s="53">
        <f>IF($D57="","",VLOOKUP($D57,CTPit!$E$10:$BG$72,L$40,FALSE))</f>
        <v>9</v>
      </c>
      <c r="M57" s="249">
        <f>IF($D57="","",VLOOKUP($D57,CTPit!$E$10:$BG$72,M$40,FALSE))</f>
        <v>5</v>
      </c>
      <c r="N57" s="250">
        <f>IF($D57="","",VLOOKUP($D57,CTPit!$E$10:$BG$72,N$40,FALSE))</f>
        <v>5</v>
      </c>
      <c r="O57" s="249">
        <f>IF($D57="","",VLOOKUP($D57,CTPit!$E$10:$BG$72,O$40,FALSE))</f>
        <v>9</v>
      </c>
      <c r="P57" s="249" t="str">
        <f>IF($D57="","",VLOOKUP($D57,CTPit!$E$10:$BG$72,P$40,FALSE))</f>
        <v>-</v>
      </c>
      <c r="Q57" s="249" t="str">
        <f>IF($D57="","",VLOOKUP($D57,CTPit!$E$10:$BG$72,Q$40,FALSE))</f>
        <v>-</v>
      </c>
      <c r="R57" s="249">
        <f>IF($D57="","",VLOOKUP($D57,CTPit!$E$10:$BG$72,R$40,FALSE))</f>
        <v>8</v>
      </c>
      <c r="S57" s="249" t="str">
        <f>IF($D57="","",VLOOKUP($D57,CTPit!$E$10:$BG$72,S$40,FALSE))</f>
        <v>-</v>
      </c>
      <c r="T57" s="249" t="str">
        <f>IF($D57="","",VLOOKUP($D57,CTPit!$E$10:$BG$72,T$40,FALSE))</f>
        <v>-</v>
      </c>
      <c r="U57" s="249" t="str">
        <f>IF($D57="","",VLOOKUP($D57,CTPit!$E$10:$BG$72,U$40,FALSE))</f>
        <v>-</v>
      </c>
      <c r="V57" s="249" t="str">
        <f>IF($D57="","",VLOOKUP($D57,CTPit!$E$10:$BG$72,V$40,FALSE))</f>
        <v>-</v>
      </c>
      <c r="W57" s="249" t="str">
        <f>IF($D57="","",VLOOKUP($D57,CTPit!$E$10:$BG$72,W$40,FALSE))</f>
        <v>-</v>
      </c>
      <c r="X57" s="249" t="str">
        <f>IF($D57="","",VLOOKUP($D57,CTPit!$E$10:$BG$72,X$40,FALSE))</f>
        <v>-</v>
      </c>
      <c r="Y57" s="249" t="str">
        <f>IF($D57="","",VLOOKUP($D57,CTPit!$E$10:$BG$72,Y$40,FALSE))</f>
        <v>-</v>
      </c>
      <c r="Z57" s="250" t="str">
        <f>IF($D57="","",VLOOKUP($D57,CTPit!$E$10:$BG$72,Z$40,FALSE))</f>
        <v>-</v>
      </c>
      <c r="AA57" s="53" t="str">
        <f>IF($D57="","",VLOOKUP($D57,CTPit!$E$10:$BG$72,AA$40,FALSE))</f>
        <v>96-98 Mph</v>
      </c>
      <c r="AB57" s="249">
        <f>IF($D57="","",VLOOKUP($D57,CTPit!$E$10:$BG$72,AB$40,FALSE))</f>
        <v>2</v>
      </c>
      <c r="AC57" s="80">
        <f>IF($D57="","",VLOOKUP($D57,CTPit!$E$10:$BG$72,AC$40,FALSE))</f>
        <v>0.37</v>
      </c>
      <c r="AH57" t="s">
        <v>310</v>
      </c>
    </row>
    <row r="58" spans="1:34">
      <c r="A58">
        <v>5</v>
      </c>
      <c r="B58" s="266" t="s">
        <v>244</v>
      </c>
      <c r="C58" s="36" t="s">
        <v>19</v>
      </c>
      <c r="D58" s="65" t="s">
        <v>453</v>
      </c>
      <c r="E58" s="37">
        <f>IF($D58="","",VLOOKUP($D58,CTPit!$E$10:$BG$214,E$1,FALSE))</f>
        <v>27</v>
      </c>
      <c r="F58" s="37" t="str">
        <f>IF($D58="","",VLOOKUP($D58,CTPit!$E$10:$BG$214,F$1+1,FALSE))</f>
        <v>R</v>
      </c>
      <c r="G58" s="53">
        <f t="shared" si="91"/>
        <v>0</v>
      </c>
      <c r="H58" s="249">
        <f t="shared" si="92"/>
        <v>0</v>
      </c>
      <c r="I58" s="250">
        <f t="shared" si="93"/>
        <v>1</v>
      </c>
      <c r="J58" s="100" t="str">
        <f>IF($D58="","",VLOOKUP($D58,CTPit!$E$10:$BG$72,J$40,FALSE))</f>
        <v>R</v>
      </c>
      <c r="K58" s="249">
        <f t="shared" si="94"/>
        <v>2</v>
      </c>
      <c r="L58" s="53">
        <f>IF($D58="","",VLOOKUP($D58,CTPit!$E$10:$BG$72,L$40,FALSE))</f>
        <v>4</v>
      </c>
      <c r="M58" s="249">
        <f>IF($D58="","",VLOOKUP($D58,CTPit!$E$10:$BG$72,M$40,FALSE))</f>
        <v>8</v>
      </c>
      <c r="N58" s="250">
        <f>IF($D58="","",VLOOKUP($D58,CTPit!$E$10:$BG$72,N$40,FALSE))</f>
        <v>7</v>
      </c>
      <c r="O58" s="249">
        <f>IF($D58="","",VLOOKUP($D58,CTPit!$E$10:$BG$72,O$40,FALSE))</f>
        <v>5</v>
      </c>
      <c r="P58" s="249" t="str">
        <f>IF($D58="","",VLOOKUP($D58,CTPit!$E$10:$BG$72,P$40,FALSE))</f>
        <v>-</v>
      </c>
      <c r="Q58" s="249" t="str">
        <f>IF($D58="","",VLOOKUP($D58,CTPit!$E$10:$BG$72,Q$40,FALSE))</f>
        <v>-</v>
      </c>
      <c r="R58" s="249">
        <f>IF($D58="","",VLOOKUP($D58,CTPit!$E$10:$BG$72,R$40,FALSE))</f>
        <v>4</v>
      </c>
      <c r="S58" s="249" t="str">
        <f>IF($D58="","",VLOOKUP($D58,CTPit!$E$10:$BG$72,S$40,FALSE))</f>
        <v>-</v>
      </c>
      <c r="T58" s="249" t="str">
        <f>IF($D58="","",VLOOKUP($D58,CTPit!$E$10:$BG$72,T$40,FALSE))</f>
        <v>-</v>
      </c>
      <c r="U58" s="249" t="str">
        <f>IF($D58="","",VLOOKUP($D58,CTPit!$E$10:$BG$72,U$40,FALSE))</f>
        <v>-</v>
      </c>
      <c r="V58" s="249" t="str">
        <f>IF($D58="","",VLOOKUP($D58,CTPit!$E$10:$BG$72,V$40,FALSE))</f>
        <v>-</v>
      </c>
      <c r="W58" s="249" t="str">
        <f>IF($D58="","",VLOOKUP($D58,CTPit!$E$10:$BG$72,W$40,FALSE))</f>
        <v>-</v>
      </c>
      <c r="X58" s="249" t="str">
        <f>IF($D58="","",VLOOKUP($D58,CTPit!$E$10:$BG$72,X$40,FALSE))</f>
        <v>-</v>
      </c>
      <c r="Y58" s="249" t="str">
        <f>IF($D58="","",VLOOKUP($D58,CTPit!$E$10:$BG$72,Y$40,FALSE))</f>
        <v>-</v>
      </c>
      <c r="Z58" s="250" t="str">
        <f>IF($D58="","",VLOOKUP($D58,CTPit!$E$10:$BG$72,Z$40,FALSE))</f>
        <v>-</v>
      </c>
      <c r="AA58" s="53" t="str">
        <f>IF($D58="","",VLOOKUP($D58,CTPit!$E$10:$BG$72,AA$40,FALSE))</f>
        <v>90-92 Mph</v>
      </c>
      <c r="AB58" s="249">
        <f>IF($D58="","",VLOOKUP($D58,CTPit!$E$10:$BG$72,AB$40,FALSE))</f>
        <v>2</v>
      </c>
      <c r="AC58" s="80">
        <f>IF($D58="","",VLOOKUP($D58,CTPit!$E$10:$BG$72,AC$40,FALSE))</f>
        <v>0.67</v>
      </c>
    </row>
    <row r="59" spans="1:34">
      <c r="A59">
        <v>6</v>
      </c>
      <c r="B59" s="267">
        <v>2019</v>
      </c>
      <c r="C59" s="39" t="s">
        <v>19</v>
      </c>
      <c r="D59" s="40" t="s">
        <v>225</v>
      </c>
      <c r="E59" s="40">
        <f>IF($D59="","",VLOOKUP($D59,CTPit!$E$10:$BG$214,E$1,FALSE))</f>
        <v>23</v>
      </c>
      <c r="F59" s="40" t="str">
        <f>IF($D59="","",VLOOKUP($D59,CTPit!$E$10:$BG$214,F$1+1,FALSE))</f>
        <v>R</v>
      </c>
      <c r="G59" s="54">
        <f t="shared" si="91"/>
        <v>0</v>
      </c>
      <c r="H59" s="247">
        <f t="shared" si="92"/>
        <v>0</v>
      </c>
      <c r="I59" s="248">
        <f t="shared" si="93"/>
        <v>1</v>
      </c>
      <c r="J59" s="101" t="str">
        <f>IF($D59="","",VLOOKUP($D59,CTPit!$E$10:$BG$72,J$40,FALSE))</f>
        <v>R</v>
      </c>
      <c r="K59" s="247">
        <f t="shared" si="94"/>
        <v>4</v>
      </c>
      <c r="L59" s="54">
        <f>IF($D59="","",VLOOKUP($D59,CTPit!$E$10:$BG$72,L$40,FALSE))</f>
        <v>9</v>
      </c>
      <c r="M59" s="247">
        <f>IF($D59="","",VLOOKUP($D59,CTPit!$E$10:$BG$72,M$40,FALSE))</f>
        <v>6</v>
      </c>
      <c r="N59" s="248">
        <f>IF($D59="","",VLOOKUP($D59,CTPit!$E$10:$BG$72,N$40,FALSE))</f>
        <v>4</v>
      </c>
      <c r="O59" s="247">
        <f>IF($D59="","",VLOOKUP($D59,CTPit!$E$10:$BG$72,O$40,FALSE))</f>
        <v>8</v>
      </c>
      <c r="P59" s="247">
        <f>IF($D59="","",VLOOKUP($D59,CTPit!$E$10:$BG$72,P$40,FALSE))</f>
        <v>3</v>
      </c>
      <c r="Q59" s="247" t="str">
        <f>IF($D59="","",VLOOKUP($D59,CTPit!$E$10:$BG$72,Q$40,FALSE))</f>
        <v>-</v>
      </c>
      <c r="R59" s="247">
        <f>IF($D59="","",VLOOKUP($D59,CTPit!$E$10:$BG$72,R$40,FALSE))</f>
        <v>5</v>
      </c>
      <c r="S59" s="247">
        <f>IF($D59="","",VLOOKUP($D59,CTPit!$E$10:$BG$72,S$40,FALSE))</f>
        <v>7</v>
      </c>
      <c r="T59" s="247" t="str">
        <f>IF($D59="","",VLOOKUP($D59,CTPit!$E$10:$BG$72,T$40,FALSE))</f>
        <v>-</v>
      </c>
      <c r="U59" s="247" t="str">
        <f>IF($D59="","",VLOOKUP($D59,CTPit!$E$10:$BG$72,U$40,FALSE))</f>
        <v>-</v>
      </c>
      <c r="V59" s="247" t="str">
        <f>IF($D59="","",VLOOKUP($D59,CTPit!$E$10:$BG$72,V$40,FALSE))</f>
        <v>-</v>
      </c>
      <c r="W59" s="247" t="str">
        <f>IF($D59="","",VLOOKUP($D59,CTPit!$E$10:$BG$72,W$40,FALSE))</f>
        <v>-</v>
      </c>
      <c r="X59" s="247" t="str">
        <f>IF($D59="","",VLOOKUP($D59,CTPit!$E$10:$BG$72,X$40,FALSE))</f>
        <v>-</v>
      </c>
      <c r="Y59" s="247" t="str">
        <f>IF($D59="","",VLOOKUP($D59,CTPit!$E$10:$BG$72,Y$40,FALSE))</f>
        <v>-</v>
      </c>
      <c r="Z59" s="248" t="str">
        <f>IF($D59="","",VLOOKUP($D59,CTPit!$E$10:$BG$72,Z$40,FALSE))</f>
        <v>-</v>
      </c>
      <c r="AA59" s="54" t="str">
        <f>IF($D59="","",VLOOKUP($D59,CTPit!$E$10:$BG$72,AA$40,FALSE))</f>
        <v>99-101 Mph</v>
      </c>
      <c r="AB59" s="247">
        <f>IF($D59="","",VLOOKUP($D59,CTPit!$E$10:$BG$72,AB$40,FALSE))</f>
        <v>9</v>
      </c>
      <c r="AC59" s="81">
        <f>IF($D59="","",VLOOKUP($D59,CTPit!$E$10:$BG$72,AC$40,FALSE))</f>
        <v>0.6</v>
      </c>
    </row>
  </sheetData>
  <mergeCells count="6">
    <mergeCell ref="AI31:AU31"/>
    <mergeCell ref="AH26:AU26"/>
    <mergeCell ref="AI27:AU27"/>
    <mergeCell ref="AI28:AU28"/>
    <mergeCell ref="AI29:AU29"/>
    <mergeCell ref="AI30:AU30"/>
  </mergeCells>
  <conditionalFormatting sqref="H13">
    <cfRule type="expression" dxfId="142" priority="15">
      <formula>IF(SUM(H14:H19)&gt;1,1,0)</formula>
    </cfRule>
  </conditionalFormatting>
  <conditionalFormatting sqref="I13">
    <cfRule type="expression" dxfId="141" priority="14">
      <formula>IF(SUM(I14:I19)&gt;1,1,0)</formula>
    </cfRule>
  </conditionalFormatting>
  <conditionalFormatting sqref="G13">
    <cfRule type="expression" dxfId="140" priority="13">
      <formula>IF(OR(SUM(G14:G19)&gt;1,SUM(G14:G19)=0),1,0)</formula>
    </cfRule>
  </conditionalFormatting>
  <conditionalFormatting sqref="J2">
    <cfRule type="expression" dxfId="139" priority="12">
      <formula>-IF(SUM(J3:J11)&gt;1,1,0)</formula>
    </cfRule>
  </conditionalFormatting>
  <conditionalFormatting sqref="I2">
    <cfRule type="expression" dxfId="138" priority="11">
      <formula>-IF(SUM(I3:I11)&gt;1,1,0)</formula>
    </cfRule>
  </conditionalFormatting>
  <conditionalFormatting sqref="G21">
    <cfRule type="expression" dxfId="137" priority="10">
      <formula>IF(SUM($G$22:$G$24)&gt;1,1,0)</formula>
    </cfRule>
  </conditionalFormatting>
  <conditionalFormatting sqref="G41">
    <cfRule type="expression" dxfId="136" priority="9">
      <formula>IF(SUM($G$42:$G$47)&gt;1,1,0)</formula>
    </cfRule>
  </conditionalFormatting>
  <conditionalFormatting sqref="I41">
    <cfRule type="expression" dxfId="135" priority="8">
      <formula>IF(SUM($I$42:$I$47)&gt;3,1,0)</formula>
    </cfRule>
  </conditionalFormatting>
  <conditionalFormatting sqref="H41">
    <cfRule type="expression" dxfId="134" priority="7">
      <formula>IF(SUM($H$42:$H$47)&gt;2,1,0)</formula>
    </cfRule>
  </conditionalFormatting>
  <conditionalFormatting sqref="D22:D24 D14:D19 D3:D11">
    <cfRule type="expression" dxfId="133" priority="5">
      <formula>IF($BA3&lt;4.5,1,0)</formula>
    </cfRule>
    <cfRule type="expression" dxfId="132" priority="6">
      <formula>IF($BA3&gt;7,1,0)</formula>
    </cfRule>
  </conditionalFormatting>
  <conditionalFormatting sqref="D15">
    <cfRule type="expression" dxfId="131" priority="3">
      <formula>IF($BA15&lt;4.5,1,0)</formula>
    </cfRule>
    <cfRule type="expression" dxfId="130" priority="4">
      <formula>IF($BA15&gt;7,1,0)</formula>
    </cfRule>
  </conditionalFormatting>
  <conditionalFormatting sqref="G2">
    <cfRule type="expression" dxfId="129" priority="2">
      <formula>IF(OR(SUM(G3:G11)&gt;1,SUM(G3:G11)=0),1,0)</formula>
    </cfRule>
  </conditionalFormatting>
  <conditionalFormatting sqref="H2">
    <cfRule type="expression" dxfId="128" priority="1">
      <formula>IF(SUM(H3:H11)&gt;1,1,0)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codeName="Sheet3">
    <tabColor theme="9"/>
  </sheetPr>
  <dimension ref="A1:P89"/>
  <sheetViews>
    <sheetView zoomScale="85" zoomScaleNormal="85" workbookViewId="0">
      <selection activeCell="C47" sqref="C47"/>
    </sheetView>
  </sheetViews>
  <sheetFormatPr defaultRowHeight="15"/>
  <cols>
    <col min="1" max="1" width="28.5703125" style="111" customWidth="1"/>
    <col min="2" max="2" width="5.42578125" customWidth="1"/>
    <col min="3" max="3" width="5.5703125" bestFit="1" customWidth="1"/>
    <col min="4" max="4" width="16.140625" customWidth="1"/>
    <col min="5" max="5" width="14.28515625" bestFit="1" customWidth="1"/>
    <col min="6" max="6" width="13.7109375" bestFit="1" customWidth="1"/>
    <col min="7" max="8" width="13.140625" bestFit="1" customWidth="1"/>
    <col min="9" max="9" width="13.5703125" customWidth="1"/>
    <col min="10" max="10" width="12.85546875" bestFit="1" customWidth="1"/>
    <col min="11" max="11" width="12.5703125" bestFit="1" customWidth="1"/>
    <col min="12" max="14" width="12.85546875" bestFit="1" customWidth="1"/>
    <col min="15" max="15" width="11.85546875" bestFit="1" customWidth="1"/>
    <col min="16" max="16" width="12.85546875" customWidth="1"/>
  </cols>
  <sheetData>
    <row r="1" spans="1:14" ht="15.75" thickBot="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</row>
    <row r="2" spans="1:14" ht="15.75" thickBot="1">
      <c r="A2" s="12" t="s">
        <v>121</v>
      </c>
      <c r="B2" s="13" t="s">
        <v>122</v>
      </c>
      <c r="C2" s="13" t="s">
        <v>94</v>
      </c>
      <c r="D2" s="13" t="s">
        <v>123</v>
      </c>
      <c r="E2" s="13">
        <v>2018</v>
      </c>
      <c r="F2" s="13">
        <v>2019</v>
      </c>
      <c r="G2" s="13">
        <v>2020</v>
      </c>
      <c r="H2" s="13">
        <v>2021</v>
      </c>
      <c r="I2" s="13">
        <v>2022</v>
      </c>
      <c r="J2" s="13">
        <v>2023</v>
      </c>
      <c r="K2" s="13">
        <v>2024</v>
      </c>
      <c r="L2" s="13">
        <f t="shared" ref="L2:N2" si="0">K2+1</f>
        <v>2025</v>
      </c>
      <c r="M2" s="13">
        <f t="shared" si="0"/>
        <v>2026</v>
      </c>
      <c r="N2" s="13">
        <f t="shared" si="0"/>
        <v>2027</v>
      </c>
    </row>
    <row r="3" spans="1:14" ht="15.75" thickBot="1">
      <c r="A3" s="14" t="s">
        <v>604</v>
      </c>
      <c r="B3" s="15" t="s">
        <v>103</v>
      </c>
      <c r="C3" s="15">
        <v>29</v>
      </c>
      <c r="D3" s="15" t="s">
        <v>605</v>
      </c>
      <c r="E3" s="16">
        <v>15000000</v>
      </c>
      <c r="F3" s="15"/>
      <c r="G3" s="15"/>
      <c r="H3" s="15"/>
      <c r="I3" s="15"/>
      <c r="J3" s="15"/>
      <c r="K3" s="15"/>
      <c r="L3" s="15"/>
      <c r="M3" s="15"/>
      <c r="N3" s="15"/>
    </row>
    <row r="4" spans="1:14" ht="15.75" thickBot="1">
      <c r="A4" s="17" t="s">
        <v>495</v>
      </c>
      <c r="B4" s="18" t="s">
        <v>102</v>
      </c>
      <c r="C4" s="18">
        <v>28</v>
      </c>
      <c r="D4" s="18" t="s">
        <v>606</v>
      </c>
      <c r="E4" s="19">
        <v>14700000</v>
      </c>
      <c r="F4" s="18" t="s">
        <v>124</v>
      </c>
      <c r="G4" s="18"/>
      <c r="H4" s="18"/>
      <c r="I4" s="18"/>
      <c r="J4" s="18"/>
      <c r="K4" s="18"/>
      <c r="L4" s="18"/>
      <c r="M4" s="18"/>
      <c r="N4" s="18"/>
    </row>
    <row r="5" spans="1:14" ht="15.75" thickBot="1">
      <c r="A5" s="14" t="s">
        <v>332</v>
      </c>
      <c r="B5" s="15" t="s">
        <v>100</v>
      </c>
      <c r="C5" s="15">
        <v>30</v>
      </c>
      <c r="D5" s="15" t="s">
        <v>607</v>
      </c>
      <c r="E5" s="16">
        <v>11500000</v>
      </c>
      <c r="F5" s="16">
        <v>13000000</v>
      </c>
      <c r="G5" s="15"/>
      <c r="H5" s="15"/>
      <c r="I5" s="15"/>
      <c r="J5" s="15"/>
      <c r="K5" s="15"/>
      <c r="L5" s="18"/>
      <c r="M5" s="18"/>
      <c r="N5" s="18"/>
    </row>
    <row r="6" spans="1:14" ht="15.75" thickBot="1">
      <c r="A6" s="17" t="s">
        <v>331</v>
      </c>
      <c r="B6" s="18" t="s">
        <v>111</v>
      </c>
      <c r="C6" s="18">
        <v>25</v>
      </c>
      <c r="D6" s="18" t="s">
        <v>608</v>
      </c>
      <c r="E6" s="19">
        <v>8750000</v>
      </c>
      <c r="F6" s="18" t="s">
        <v>124</v>
      </c>
      <c r="G6" s="18" t="s">
        <v>124</v>
      </c>
      <c r="H6" s="18"/>
      <c r="I6" s="18"/>
      <c r="J6" s="18"/>
      <c r="K6" s="18"/>
      <c r="L6" s="15"/>
      <c r="M6" s="15"/>
      <c r="N6" s="15"/>
    </row>
    <row r="7" spans="1:14" ht="15.75" thickBot="1">
      <c r="A7" s="14" t="s">
        <v>330</v>
      </c>
      <c r="B7" s="15" t="s">
        <v>95</v>
      </c>
      <c r="C7" s="15">
        <v>28</v>
      </c>
      <c r="D7" s="15" t="s">
        <v>609</v>
      </c>
      <c r="E7" s="16">
        <v>5400000</v>
      </c>
      <c r="F7" s="15"/>
      <c r="G7" s="15"/>
      <c r="H7" s="15"/>
      <c r="I7" s="15"/>
      <c r="J7" s="15"/>
      <c r="K7" s="15"/>
      <c r="L7" s="18"/>
      <c r="M7" s="18"/>
      <c r="N7" s="18"/>
    </row>
    <row r="8" spans="1:14" ht="15.75" thickBot="1">
      <c r="A8" s="17" t="s">
        <v>610</v>
      </c>
      <c r="B8" s="18" t="s">
        <v>110</v>
      </c>
      <c r="C8" s="18">
        <v>29</v>
      </c>
      <c r="D8" s="18" t="s">
        <v>611</v>
      </c>
      <c r="E8" s="19">
        <v>2750000</v>
      </c>
      <c r="F8" s="18" t="s">
        <v>124</v>
      </c>
      <c r="G8" s="18" t="s">
        <v>124</v>
      </c>
      <c r="H8" s="18" t="s">
        <v>124</v>
      </c>
      <c r="I8" s="18"/>
      <c r="J8" s="18"/>
      <c r="K8" s="18"/>
      <c r="L8" s="15"/>
      <c r="M8" s="15"/>
      <c r="N8" s="15"/>
    </row>
    <row r="9" spans="1:14" ht="15.75" thickBot="1">
      <c r="A9" s="14" t="s">
        <v>448</v>
      </c>
      <c r="B9" s="15" t="s">
        <v>111</v>
      </c>
      <c r="C9" s="15">
        <v>25</v>
      </c>
      <c r="D9" s="15" t="s">
        <v>590</v>
      </c>
      <c r="E9" s="16">
        <v>1900000</v>
      </c>
      <c r="F9" s="16">
        <v>1900000</v>
      </c>
      <c r="G9" s="15" t="s">
        <v>124</v>
      </c>
      <c r="H9" s="15" t="s">
        <v>124</v>
      </c>
      <c r="I9" s="15" t="s">
        <v>124</v>
      </c>
      <c r="J9" s="15"/>
      <c r="K9" s="15"/>
      <c r="L9" s="18"/>
      <c r="M9" s="18"/>
      <c r="N9" s="18"/>
    </row>
    <row r="10" spans="1:14" ht="15.75" thickBot="1">
      <c r="A10" s="17" t="s">
        <v>393</v>
      </c>
      <c r="B10" s="18" t="s">
        <v>100</v>
      </c>
      <c r="C10" s="18">
        <v>29</v>
      </c>
      <c r="D10" s="18" t="s">
        <v>612</v>
      </c>
      <c r="E10" s="19">
        <v>950000</v>
      </c>
      <c r="F10" s="18" t="s">
        <v>124</v>
      </c>
      <c r="G10" s="18"/>
      <c r="H10" s="18"/>
      <c r="I10" s="18"/>
      <c r="J10" s="18"/>
      <c r="K10" s="18"/>
      <c r="L10" s="15"/>
      <c r="M10" s="15"/>
      <c r="N10" s="15"/>
    </row>
    <row r="11" spans="1:14" ht="15.75" thickBot="1">
      <c r="A11" s="14" t="s">
        <v>576</v>
      </c>
      <c r="B11" s="15" t="s">
        <v>100</v>
      </c>
      <c r="C11" s="15">
        <v>28</v>
      </c>
      <c r="D11" s="15" t="s">
        <v>558</v>
      </c>
      <c r="E11" s="16">
        <v>900000</v>
      </c>
      <c r="F11" s="15" t="s">
        <v>124</v>
      </c>
      <c r="G11" s="15" t="s">
        <v>124</v>
      </c>
      <c r="H11" s="15" t="s">
        <v>124</v>
      </c>
      <c r="I11" s="15"/>
      <c r="J11" s="15"/>
      <c r="K11" s="15"/>
      <c r="L11" s="18"/>
      <c r="M11" s="18"/>
      <c r="N11" s="18"/>
    </row>
    <row r="12" spans="1:14" ht="15.75" thickBot="1">
      <c r="A12" s="17" t="s">
        <v>429</v>
      </c>
      <c r="B12" s="18" t="s">
        <v>97</v>
      </c>
      <c r="C12" s="18">
        <v>29</v>
      </c>
      <c r="D12" s="18" t="s">
        <v>608</v>
      </c>
      <c r="E12" s="19">
        <v>864000</v>
      </c>
      <c r="F12" s="18" t="s">
        <v>124</v>
      </c>
      <c r="G12" s="18" t="s">
        <v>124</v>
      </c>
      <c r="H12" s="18"/>
      <c r="I12" s="18"/>
      <c r="J12" s="18"/>
      <c r="K12" s="18"/>
      <c r="L12" s="18"/>
      <c r="M12" s="15"/>
      <c r="N12" s="15"/>
    </row>
    <row r="13" spans="1:14" ht="15.75" thickBot="1">
      <c r="A13" s="14" t="s">
        <v>559</v>
      </c>
      <c r="B13" s="15" t="s">
        <v>110</v>
      </c>
      <c r="C13" s="15">
        <v>23</v>
      </c>
      <c r="D13" s="15" t="s">
        <v>613</v>
      </c>
      <c r="E13" s="16">
        <v>828000</v>
      </c>
      <c r="F13" s="16">
        <v>828000</v>
      </c>
      <c r="G13" s="16">
        <v>828000</v>
      </c>
      <c r="H13" s="16">
        <v>828000</v>
      </c>
      <c r="I13" s="15" t="s">
        <v>124</v>
      </c>
      <c r="J13" s="15" t="s">
        <v>124</v>
      </c>
      <c r="K13" s="15" t="s">
        <v>124</v>
      </c>
      <c r="L13" s="15"/>
      <c r="M13" s="18"/>
      <c r="N13" s="18"/>
    </row>
    <row r="14" spans="1:14" ht="15.75" thickBot="1">
      <c r="A14" s="17" t="s">
        <v>614</v>
      </c>
      <c r="B14" s="18" t="s">
        <v>101</v>
      </c>
      <c r="C14" s="18">
        <v>27</v>
      </c>
      <c r="D14" s="18" t="s">
        <v>615</v>
      </c>
      <c r="E14" s="19">
        <v>490000</v>
      </c>
      <c r="F14" s="19">
        <v>490000</v>
      </c>
      <c r="G14" s="18" t="s">
        <v>124</v>
      </c>
      <c r="H14" s="18" t="s">
        <v>124</v>
      </c>
      <c r="I14" s="18" t="s">
        <v>124</v>
      </c>
      <c r="J14" s="18"/>
      <c r="K14" s="18"/>
      <c r="L14" s="18"/>
      <c r="M14" s="15"/>
      <c r="N14" s="15"/>
    </row>
    <row r="15" spans="1:14" ht="15.75" thickBot="1">
      <c r="A15" s="14" t="s">
        <v>488</v>
      </c>
      <c r="B15" s="15" t="s">
        <v>101</v>
      </c>
      <c r="C15" s="15">
        <v>27</v>
      </c>
      <c r="D15" s="15" t="s">
        <v>616</v>
      </c>
      <c r="E15" s="16">
        <v>490000</v>
      </c>
      <c r="F15" s="16">
        <v>490000</v>
      </c>
      <c r="G15" s="16">
        <v>490000</v>
      </c>
      <c r="H15" s="16">
        <v>490000</v>
      </c>
      <c r="I15" s="15" t="s">
        <v>124</v>
      </c>
      <c r="J15" s="15" t="s">
        <v>124</v>
      </c>
      <c r="K15" s="15" t="s">
        <v>124</v>
      </c>
      <c r="L15" s="15"/>
      <c r="M15" s="18"/>
      <c r="N15" s="18"/>
    </row>
    <row r="16" spans="1:14" ht="15.75" thickBot="1">
      <c r="A16" s="17" t="s">
        <v>442</v>
      </c>
      <c r="B16" s="18" t="s">
        <v>112</v>
      </c>
      <c r="C16" s="18">
        <v>27</v>
      </c>
      <c r="D16" s="18" t="s">
        <v>617</v>
      </c>
      <c r="E16" s="19">
        <v>490000</v>
      </c>
      <c r="F16" s="19">
        <v>490000</v>
      </c>
      <c r="G16" s="18" t="s">
        <v>124</v>
      </c>
      <c r="H16" s="18" t="s">
        <v>124</v>
      </c>
      <c r="I16" s="18" t="s">
        <v>124</v>
      </c>
      <c r="J16" s="18"/>
      <c r="K16" s="18"/>
      <c r="L16" s="18"/>
      <c r="M16" s="15"/>
      <c r="N16" s="15"/>
    </row>
    <row r="17" spans="1:14" ht="15.75" thickBot="1">
      <c r="A17" s="14" t="s">
        <v>618</v>
      </c>
      <c r="B17" s="15" t="s">
        <v>97</v>
      </c>
      <c r="C17" s="15">
        <v>28</v>
      </c>
      <c r="D17" s="15" t="s">
        <v>619</v>
      </c>
      <c r="E17" s="16">
        <v>490000</v>
      </c>
      <c r="F17" s="16">
        <v>490000</v>
      </c>
      <c r="G17" s="16">
        <v>490000</v>
      </c>
      <c r="H17" s="15" t="s">
        <v>124</v>
      </c>
      <c r="I17" s="15" t="s">
        <v>124</v>
      </c>
      <c r="J17" s="15" t="s">
        <v>124</v>
      </c>
      <c r="K17" s="15"/>
      <c r="L17" s="15"/>
      <c r="M17" s="18"/>
      <c r="N17" s="18"/>
    </row>
    <row r="18" spans="1:14" ht="15.75" thickBot="1">
      <c r="A18" s="17" t="s">
        <v>561</v>
      </c>
      <c r="B18" s="18" t="s">
        <v>110</v>
      </c>
      <c r="C18" s="18">
        <v>24</v>
      </c>
      <c r="D18" s="18" t="s">
        <v>489</v>
      </c>
      <c r="E18" s="19">
        <v>490000</v>
      </c>
      <c r="F18" s="19">
        <v>490000</v>
      </c>
      <c r="G18" s="19">
        <v>490000</v>
      </c>
      <c r="H18" s="19">
        <v>490000</v>
      </c>
      <c r="I18" s="18" t="s">
        <v>124</v>
      </c>
      <c r="J18" s="18" t="s">
        <v>124</v>
      </c>
      <c r="K18" s="18" t="s">
        <v>124</v>
      </c>
      <c r="L18" s="18"/>
      <c r="M18" s="15"/>
      <c r="N18" s="15"/>
    </row>
    <row r="19" spans="1:14" ht="15.75" thickBot="1">
      <c r="A19" s="14" t="s">
        <v>562</v>
      </c>
      <c r="B19" s="15" t="s">
        <v>111</v>
      </c>
      <c r="C19" s="15">
        <v>24</v>
      </c>
      <c r="D19" s="15" t="s">
        <v>620</v>
      </c>
      <c r="E19" s="16">
        <v>490000</v>
      </c>
      <c r="F19" s="16">
        <v>490000</v>
      </c>
      <c r="G19" s="16">
        <v>490000</v>
      </c>
      <c r="H19" s="15" t="s">
        <v>124</v>
      </c>
      <c r="I19" s="15" t="s">
        <v>124</v>
      </c>
      <c r="J19" s="15" t="s">
        <v>124</v>
      </c>
      <c r="K19" s="15"/>
      <c r="L19" s="15"/>
      <c r="M19" s="18"/>
      <c r="N19" s="18"/>
    </row>
    <row r="20" spans="1:14" ht="15.75" thickBot="1">
      <c r="A20" s="17" t="s">
        <v>621</v>
      </c>
      <c r="B20" s="18" t="s">
        <v>103</v>
      </c>
      <c r="C20" s="18">
        <v>26</v>
      </c>
      <c r="D20" s="18" t="s">
        <v>591</v>
      </c>
      <c r="E20" s="19">
        <v>490000</v>
      </c>
      <c r="F20" s="19">
        <v>490000</v>
      </c>
      <c r="G20" s="19">
        <v>490000</v>
      </c>
      <c r="H20" s="19">
        <v>490000</v>
      </c>
      <c r="I20" s="18" t="s">
        <v>124</v>
      </c>
      <c r="J20" s="18" t="s">
        <v>124</v>
      </c>
      <c r="K20" s="18" t="s">
        <v>124</v>
      </c>
      <c r="L20" s="18"/>
      <c r="M20" s="15"/>
      <c r="N20" s="15"/>
    </row>
    <row r="21" spans="1:14" ht="15.75" thickBot="1">
      <c r="A21" s="14" t="s">
        <v>578</v>
      </c>
      <c r="B21" s="15" t="s">
        <v>95</v>
      </c>
      <c r="C21" s="15">
        <v>26</v>
      </c>
      <c r="D21" s="15" t="s">
        <v>613</v>
      </c>
      <c r="E21" s="16">
        <v>490000</v>
      </c>
      <c r="F21" s="16">
        <v>490000</v>
      </c>
      <c r="G21" s="16">
        <v>490000</v>
      </c>
      <c r="H21" s="16">
        <v>490000</v>
      </c>
      <c r="I21" s="15" t="s">
        <v>124</v>
      </c>
      <c r="J21" s="15" t="s">
        <v>124</v>
      </c>
      <c r="K21" s="15" t="s">
        <v>124</v>
      </c>
      <c r="L21" s="15"/>
      <c r="M21" s="18"/>
      <c r="N21" s="18"/>
    </row>
    <row r="22" spans="1:14" ht="15.75" thickBot="1">
      <c r="A22" s="17" t="s">
        <v>577</v>
      </c>
      <c r="B22" s="18" t="s">
        <v>99</v>
      </c>
      <c r="C22" s="18">
        <v>25</v>
      </c>
      <c r="D22" s="18" t="s">
        <v>613</v>
      </c>
      <c r="E22" s="19">
        <v>490000</v>
      </c>
      <c r="F22" s="19">
        <v>490000</v>
      </c>
      <c r="G22" s="19">
        <v>490000</v>
      </c>
      <c r="H22" s="19">
        <v>490000</v>
      </c>
      <c r="I22" s="18" t="s">
        <v>124</v>
      </c>
      <c r="J22" s="18" t="s">
        <v>124</v>
      </c>
      <c r="K22" s="18" t="s">
        <v>124</v>
      </c>
      <c r="L22" s="18"/>
      <c r="M22" s="15"/>
      <c r="N22" s="15"/>
    </row>
    <row r="23" spans="1:14" ht="15.75" thickBot="1">
      <c r="A23" s="14" t="s">
        <v>589</v>
      </c>
      <c r="B23" s="15" t="s">
        <v>103</v>
      </c>
      <c r="C23" s="15">
        <v>24</v>
      </c>
      <c r="D23" s="15" t="s">
        <v>622</v>
      </c>
      <c r="E23" s="16">
        <v>490000</v>
      </c>
      <c r="F23" s="16">
        <v>490000</v>
      </c>
      <c r="G23" s="16">
        <v>490000</v>
      </c>
      <c r="H23" s="16">
        <v>490000</v>
      </c>
      <c r="I23" s="15" t="s">
        <v>124</v>
      </c>
      <c r="J23" s="15" t="s">
        <v>124</v>
      </c>
      <c r="K23" s="15" t="s">
        <v>124</v>
      </c>
      <c r="L23" s="15"/>
      <c r="M23" s="18"/>
      <c r="N23" s="18"/>
    </row>
    <row r="24" spans="1:14" ht="15.75" thickBot="1">
      <c r="A24" s="17" t="s">
        <v>623</v>
      </c>
      <c r="B24" s="18" t="s">
        <v>110</v>
      </c>
      <c r="C24" s="18">
        <v>27</v>
      </c>
      <c r="D24" s="18" t="s">
        <v>624</v>
      </c>
      <c r="E24" s="19">
        <v>490000</v>
      </c>
      <c r="F24" s="19">
        <v>490000</v>
      </c>
      <c r="G24" s="19">
        <v>490000</v>
      </c>
      <c r="H24" s="19">
        <v>490000</v>
      </c>
      <c r="I24" s="18" t="s">
        <v>124</v>
      </c>
      <c r="J24" s="18" t="s">
        <v>124</v>
      </c>
      <c r="K24" s="18" t="s">
        <v>124</v>
      </c>
      <c r="L24" s="18"/>
      <c r="M24" s="15"/>
      <c r="N24" s="15"/>
    </row>
    <row r="25" spans="1:14" ht="15.75" thickBot="1">
      <c r="A25" s="14" t="s">
        <v>564</v>
      </c>
      <c r="B25" s="15" t="s">
        <v>95</v>
      </c>
      <c r="C25" s="15">
        <v>28</v>
      </c>
      <c r="D25" s="15" t="s">
        <v>493</v>
      </c>
      <c r="E25" s="16">
        <v>490000</v>
      </c>
      <c r="F25" s="16">
        <v>490000</v>
      </c>
      <c r="G25" s="16">
        <v>490000</v>
      </c>
      <c r="H25" s="15" t="s">
        <v>124</v>
      </c>
      <c r="I25" s="15" t="s">
        <v>124</v>
      </c>
      <c r="J25" s="15" t="s">
        <v>124</v>
      </c>
      <c r="K25" s="15"/>
      <c r="L25" s="15"/>
      <c r="M25" s="18"/>
      <c r="N25" s="18"/>
    </row>
    <row r="26" spans="1:14" ht="15.75" thickBot="1">
      <c r="A26" s="17" t="s">
        <v>491</v>
      </c>
      <c r="B26" s="18" t="s">
        <v>98</v>
      </c>
      <c r="C26" s="18">
        <v>28</v>
      </c>
      <c r="D26" s="18" t="s">
        <v>625</v>
      </c>
      <c r="E26" s="19">
        <v>490000</v>
      </c>
      <c r="F26" s="19">
        <v>490000</v>
      </c>
      <c r="G26" s="19">
        <v>490000</v>
      </c>
      <c r="H26" s="19">
        <v>490000</v>
      </c>
      <c r="I26" s="18" t="s">
        <v>124</v>
      </c>
      <c r="J26" s="18" t="s">
        <v>124</v>
      </c>
      <c r="K26" s="18" t="s">
        <v>124</v>
      </c>
      <c r="L26" s="18"/>
      <c r="M26" s="15"/>
      <c r="N26" s="15"/>
    </row>
    <row r="27" spans="1:14" ht="15.75" thickBot="1">
      <c r="A27" s="14" t="s">
        <v>579</v>
      </c>
      <c r="B27" s="15" t="s">
        <v>111</v>
      </c>
      <c r="C27" s="15">
        <v>33</v>
      </c>
      <c r="D27" s="15" t="s">
        <v>490</v>
      </c>
      <c r="E27" s="16">
        <v>490000</v>
      </c>
      <c r="F27" s="16">
        <v>490000</v>
      </c>
      <c r="G27" s="16">
        <v>490000</v>
      </c>
      <c r="H27" s="16">
        <v>490000</v>
      </c>
      <c r="I27" s="15" t="s">
        <v>124</v>
      </c>
      <c r="J27" s="15" t="s">
        <v>124</v>
      </c>
      <c r="K27" s="15" t="s">
        <v>124</v>
      </c>
      <c r="L27" s="15"/>
      <c r="M27" s="15"/>
      <c r="N27" s="15"/>
    </row>
    <row r="28" spans="1:14" ht="15.75" thickBot="1">
      <c r="A28" s="17" t="s">
        <v>476</v>
      </c>
      <c r="B28" s="18" t="s">
        <v>103</v>
      </c>
      <c r="C28" s="18">
        <v>24</v>
      </c>
      <c r="D28" s="18" t="s">
        <v>626</v>
      </c>
      <c r="E28" s="19">
        <v>490000</v>
      </c>
      <c r="F28" s="19">
        <v>490000</v>
      </c>
      <c r="G28" s="18" t="s">
        <v>124</v>
      </c>
      <c r="H28" s="18" t="s">
        <v>124</v>
      </c>
      <c r="I28" s="18" t="s">
        <v>124</v>
      </c>
      <c r="J28" s="18"/>
      <c r="K28" s="18"/>
      <c r="L28" s="18"/>
      <c r="M28" s="15"/>
      <c r="N28" s="15"/>
    </row>
    <row r="29" spans="1:14" ht="15.75" thickBot="1">
      <c r="A29" s="14" t="s">
        <v>580</v>
      </c>
      <c r="B29" s="15" t="s">
        <v>111</v>
      </c>
      <c r="C29" s="15">
        <v>24</v>
      </c>
      <c r="D29" s="15" t="s">
        <v>563</v>
      </c>
      <c r="E29" s="16">
        <v>490000</v>
      </c>
      <c r="F29" s="16">
        <v>490000</v>
      </c>
      <c r="G29" s="16">
        <v>490000</v>
      </c>
      <c r="H29" s="15" t="s">
        <v>124</v>
      </c>
      <c r="I29" s="15" t="s">
        <v>124</v>
      </c>
      <c r="J29" s="15" t="s">
        <v>124</v>
      </c>
      <c r="K29" s="15"/>
      <c r="L29" s="15"/>
      <c r="M29" s="15"/>
      <c r="N29" s="15"/>
    </row>
    <row r="30" spans="1:14" ht="15.75" thickBot="1">
      <c r="A30" s="17" t="s">
        <v>473</v>
      </c>
      <c r="B30" s="18" t="s">
        <v>110</v>
      </c>
      <c r="C30" s="18">
        <v>27</v>
      </c>
      <c r="D30" s="18" t="s">
        <v>627</v>
      </c>
      <c r="E30" s="19">
        <v>490000</v>
      </c>
      <c r="F30" s="18" t="s">
        <v>124</v>
      </c>
      <c r="G30" s="18" t="s">
        <v>124</v>
      </c>
      <c r="H30" s="18" t="s">
        <v>124</v>
      </c>
      <c r="I30" s="18"/>
      <c r="J30" s="18"/>
      <c r="K30" s="18"/>
      <c r="L30" s="15"/>
      <c r="M30" s="18"/>
      <c r="N30" s="18"/>
    </row>
    <row r="31" spans="1:14" ht="15.75" thickBot="1">
      <c r="A31" s="14" t="s">
        <v>449</v>
      </c>
      <c r="B31" s="15" t="s">
        <v>111</v>
      </c>
      <c r="C31" s="15">
        <v>28</v>
      </c>
      <c r="D31" s="15" t="s">
        <v>628</v>
      </c>
      <c r="E31" s="16">
        <v>490000</v>
      </c>
      <c r="F31" s="15" t="s">
        <v>124</v>
      </c>
      <c r="G31" s="15" t="s">
        <v>124</v>
      </c>
      <c r="H31" s="15" t="s">
        <v>124</v>
      </c>
      <c r="I31" s="15"/>
      <c r="J31" s="15"/>
      <c r="K31" s="15"/>
      <c r="L31" s="15"/>
      <c r="M31" s="18"/>
      <c r="N31" s="18"/>
    </row>
    <row r="32" spans="1:14" ht="15.75" thickBot="1">
      <c r="A32" s="17" t="s">
        <v>492</v>
      </c>
      <c r="B32" s="18" t="s">
        <v>110</v>
      </c>
      <c r="C32" s="18">
        <v>28</v>
      </c>
      <c r="D32" s="18" t="s">
        <v>617</v>
      </c>
      <c r="E32" s="19">
        <v>490000</v>
      </c>
      <c r="F32" s="19">
        <v>490000</v>
      </c>
      <c r="G32" s="18" t="s">
        <v>124</v>
      </c>
      <c r="H32" s="18" t="s">
        <v>124</v>
      </c>
      <c r="I32" s="18" t="s">
        <v>124</v>
      </c>
      <c r="J32" s="18"/>
      <c r="K32" s="18"/>
      <c r="L32" s="18"/>
      <c r="M32" s="15"/>
      <c r="N32" s="15"/>
    </row>
    <row r="33" spans="1:14" ht="15.75" thickBot="1">
      <c r="A33" s="14" t="s">
        <v>565</v>
      </c>
      <c r="B33" s="15" t="s">
        <v>111</v>
      </c>
      <c r="C33" s="15">
        <v>28</v>
      </c>
      <c r="D33" s="15" t="s">
        <v>617</v>
      </c>
      <c r="E33" s="16">
        <v>490000</v>
      </c>
      <c r="F33" s="16">
        <v>490000</v>
      </c>
      <c r="G33" s="15" t="s">
        <v>124</v>
      </c>
      <c r="H33" s="15" t="s">
        <v>124</v>
      </c>
      <c r="I33" s="15" t="s">
        <v>124</v>
      </c>
      <c r="J33" s="15"/>
      <c r="K33" s="15"/>
      <c r="L33" s="18"/>
      <c r="M33" s="15"/>
      <c r="N33" s="15"/>
    </row>
    <row r="34" spans="1:14" ht="15.75" thickBot="1">
      <c r="A34" s="17" t="s">
        <v>581</v>
      </c>
      <c r="B34" s="18" t="s">
        <v>110</v>
      </c>
      <c r="C34" s="18">
        <v>23</v>
      </c>
      <c r="D34" s="18" t="s">
        <v>613</v>
      </c>
      <c r="E34" s="19">
        <v>490000</v>
      </c>
      <c r="F34" s="19">
        <v>490000</v>
      </c>
      <c r="G34" s="19">
        <v>490000</v>
      </c>
      <c r="H34" s="19">
        <v>490000</v>
      </c>
      <c r="I34" s="18" t="s">
        <v>124</v>
      </c>
      <c r="J34" s="18" t="s">
        <v>124</v>
      </c>
      <c r="K34" s="18" t="s">
        <v>124</v>
      </c>
      <c r="L34" s="18"/>
      <c r="M34" s="15"/>
      <c r="N34" s="15"/>
    </row>
    <row r="35" spans="1:14" ht="15.75" thickBot="1">
      <c r="A35" s="14" t="s">
        <v>432</v>
      </c>
      <c r="B35" s="15" t="s">
        <v>99</v>
      </c>
      <c r="C35" s="15">
        <v>28</v>
      </c>
      <c r="D35" s="15" t="s">
        <v>560</v>
      </c>
      <c r="E35" s="16">
        <v>490000</v>
      </c>
      <c r="F35" s="16">
        <v>490000</v>
      </c>
      <c r="G35" s="15" t="s">
        <v>124</v>
      </c>
      <c r="H35" s="15" t="s">
        <v>124</v>
      </c>
      <c r="I35" s="15" t="s">
        <v>124</v>
      </c>
      <c r="J35" s="15"/>
      <c r="K35" s="15"/>
      <c r="L35" s="18"/>
      <c r="M35" s="15"/>
      <c r="N35" s="15"/>
    </row>
    <row r="36" spans="1:14" ht="15.75" thickBot="1">
      <c r="A36" s="17" t="s">
        <v>474</v>
      </c>
      <c r="B36" s="18" t="s">
        <v>110</v>
      </c>
      <c r="C36" s="18">
        <v>25</v>
      </c>
      <c r="D36" s="18" t="s">
        <v>629</v>
      </c>
      <c r="E36" s="19">
        <v>490000</v>
      </c>
      <c r="F36" s="19">
        <v>490000</v>
      </c>
      <c r="G36" s="19">
        <v>490000</v>
      </c>
      <c r="H36" s="18" t="s">
        <v>124</v>
      </c>
      <c r="I36" s="18" t="s">
        <v>124</v>
      </c>
      <c r="J36" s="18" t="s">
        <v>124</v>
      </c>
      <c r="K36" s="18"/>
      <c r="L36" s="18"/>
      <c r="M36" s="15"/>
      <c r="N36" s="15"/>
    </row>
    <row r="37" spans="1:14" ht="15.75" thickBot="1">
      <c r="A37" s="14"/>
      <c r="B37" s="15"/>
      <c r="C37" s="15"/>
      <c r="D37" s="15"/>
      <c r="E37" s="16"/>
      <c r="F37" s="16"/>
      <c r="G37" s="16"/>
      <c r="H37" s="15"/>
      <c r="I37" s="15"/>
      <c r="J37" s="15"/>
      <c r="K37" s="15"/>
      <c r="L37" s="18"/>
      <c r="M37" s="15"/>
      <c r="N37" s="15"/>
    </row>
    <row r="38" spans="1:14" ht="15.75" thickBot="1">
      <c r="A38" s="14"/>
      <c r="B38" s="15"/>
      <c r="C38" s="15"/>
      <c r="D38" s="15"/>
      <c r="E38" s="16"/>
      <c r="F38" s="16"/>
      <c r="G38" s="16"/>
      <c r="H38" s="15"/>
      <c r="I38" s="15"/>
      <c r="J38" s="15"/>
      <c r="K38" s="15"/>
      <c r="L38" s="18"/>
      <c r="M38" s="15"/>
      <c r="N38" s="15"/>
    </row>
    <row r="39" spans="1:14" ht="15.75" thickBot="1">
      <c r="A39" s="14"/>
      <c r="B39" s="15"/>
      <c r="C39" s="15"/>
      <c r="D39" s="15"/>
      <c r="E39" s="16"/>
      <c r="F39" s="16"/>
      <c r="G39" s="16"/>
      <c r="H39" s="15"/>
      <c r="I39" s="15"/>
      <c r="J39" s="15"/>
      <c r="K39" s="15"/>
      <c r="L39" s="18"/>
      <c r="M39" s="15"/>
      <c r="N39" s="15"/>
    </row>
    <row r="40" spans="1:14" ht="15.75" thickBot="1">
      <c r="A40" s="14"/>
      <c r="B40" s="15"/>
      <c r="C40" s="15"/>
      <c r="D40" s="15"/>
      <c r="E40" s="16"/>
      <c r="F40" s="16"/>
      <c r="G40" s="16"/>
      <c r="H40" s="15"/>
      <c r="I40" s="15"/>
      <c r="J40" s="15"/>
      <c r="K40" s="15"/>
      <c r="L40" s="18"/>
      <c r="M40" s="15"/>
      <c r="N40" s="15"/>
    </row>
    <row r="41" spans="1:14" ht="15.75" thickBot="1">
      <c r="A41" s="298" t="s">
        <v>265</v>
      </c>
      <c r="B41" s="299"/>
      <c r="C41" s="299"/>
      <c r="D41" s="300"/>
      <c r="E41" s="20">
        <v>74812000</v>
      </c>
      <c r="F41" s="20">
        <v>37778000</v>
      </c>
      <c r="G41" s="20">
        <v>20428000</v>
      </c>
      <c r="H41" s="20">
        <v>17978000</v>
      </c>
      <c r="I41" s="20">
        <v>12250000</v>
      </c>
      <c r="J41" s="20">
        <v>12250000</v>
      </c>
      <c r="K41" s="20">
        <v>12250000</v>
      </c>
      <c r="L41" s="18"/>
      <c r="M41" s="15"/>
      <c r="N41" s="15"/>
    </row>
    <row r="42" spans="1:14" ht="15.75" thickBot="1">
      <c r="A42" s="298" t="s">
        <v>475</v>
      </c>
      <c r="B42" s="299"/>
      <c r="C42" s="299"/>
      <c r="D42" s="300"/>
      <c r="E42" s="20">
        <v>74812000</v>
      </c>
      <c r="F42" s="20">
        <v>13000000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18"/>
      <c r="M42" s="15"/>
      <c r="N42" s="15"/>
    </row>
    <row r="43" spans="1:14" ht="15.75" thickBot="1">
      <c r="A43" s="298" t="s">
        <v>450</v>
      </c>
      <c r="B43" s="299"/>
      <c r="C43" s="299"/>
      <c r="D43" s="300"/>
      <c r="E43" s="20">
        <v>74812000</v>
      </c>
      <c r="F43" s="20">
        <v>24760000</v>
      </c>
      <c r="G43" s="20">
        <v>12250000</v>
      </c>
      <c r="H43" s="20">
        <v>12250000</v>
      </c>
      <c r="I43" s="20">
        <v>12250000</v>
      </c>
      <c r="J43" s="20">
        <v>12250000</v>
      </c>
      <c r="K43" s="20">
        <v>12250000</v>
      </c>
      <c r="L43" s="18"/>
      <c r="M43" s="15"/>
      <c r="N43" s="15"/>
    </row>
    <row r="44" spans="1:14">
      <c r="A44" s="224" t="s">
        <v>424</v>
      </c>
      <c r="B44" s="224"/>
      <c r="C44" s="224"/>
      <c r="D44" s="224"/>
      <c r="E44" s="225">
        <f t="shared" ref="E44:N44" si="1">SUM(E3:E40)</f>
        <v>74812000</v>
      </c>
      <c r="F44" s="225">
        <f t="shared" si="1"/>
        <v>26018000</v>
      </c>
      <c r="G44" s="225">
        <f t="shared" si="1"/>
        <v>8178000</v>
      </c>
      <c r="H44" s="225">
        <f t="shared" si="1"/>
        <v>5728000</v>
      </c>
      <c r="I44" s="225">
        <f t="shared" si="1"/>
        <v>0</v>
      </c>
      <c r="J44" s="225">
        <f t="shared" si="1"/>
        <v>0</v>
      </c>
      <c r="K44" s="225">
        <f t="shared" si="1"/>
        <v>0</v>
      </c>
      <c r="L44" s="225">
        <f t="shared" si="1"/>
        <v>0</v>
      </c>
      <c r="M44" s="225">
        <f t="shared" si="1"/>
        <v>0</v>
      </c>
      <c r="N44" s="225">
        <f t="shared" si="1"/>
        <v>0</v>
      </c>
    </row>
    <row r="45" spans="1:14">
      <c r="A45" s="234" t="s">
        <v>427</v>
      </c>
      <c r="B45" s="234"/>
      <c r="C45" s="234"/>
      <c r="D45" s="234"/>
      <c r="E45" s="235"/>
      <c r="F45" s="235">
        <f t="shared" ref="F45:N45" si="2">E44-F44</f>
        <v>48794000</v>
      </c>
      <c r="G45" s="235">
        <f t="shared" si="2"/>
        <v>17840000</v>
      </c>
      <c r="H45" s="235">
        <f t="shared" si="2"/>
        <v>2450000</v>
      </c>
      <c r="I45" s="235">
        <f t="shared" si="2"/>
        <v>5728000</v>
      </c>
      <c r="J45" s="235">
        <f t="shared" si="2"/>
        <v>0</v>
      </c>
      <c r="K45" s="235">
        <f t="shared" si="2"/>
        <v>0</v>
      </c>
      <c r="L45" s="235">
        <f t="shared" si="2"/>
        <v>0</v>
      </c>
      <c r="M45" s="235">
        <f t="shared" si="2"/>
        <v>0</v>
      </c>
      <c r="N45" s="235">
        <f t="shared" si="2"/>
        <v>0</v>
      </c>
    </row>
    <row r="46" spans="1:14">
      <c r="A46" s="1" t="s">
        <v>125</v>
      </c>
      <c r="F46" s="10"/>
    </row>
    <row r="47" spans="1:14">
      <c r="A47" s="1" t="s">
        <v>226</v>
      </c>
      <c r="E47" s="112">
        <f t="shared" ref="E47:K47" si="3">SUM(E48:E54)</f>
        <v>0</v>
      </c>
      <c r="F47" s="112">
        <f t="shared" si="3"/>
        <v>0</v>
      </c>
      <c r="G47" s="112">
        <f t="shared" si="3"/>
        <v>0</v>
      </c>
      <c r="H47" s="112">
        <f t="shared" si="3"/>
        <v>0</v>
      </c>
      <c r="I47" s="112">
        <f t="shared" si="3"/>
        <v>0</v>
      </c>
      <c r="J47" s="112">
        <f t="shared" si="3"/>
        <v>0</v>
      </c>
      <c r="K47" s="112">
        <f t="shared" si="3"/>
        <v>0</v>
      </c>
      <c r="L47" s="112">
        <f t="shared" ref="L47:N47" si="4">SUM(L48:L54)</f>
        <v>0</v>
      </c>
      <c r="M47" s="112">
        <f t="shared" si="4"/>
        <v>0</v>
      </c>
      <c r="N47" s="112">
        <f t="shared" si="4"/>
        <v>0</v>
      </c>
    </row>
    <row r="48" spans="1:14">
      <c r="A48"/>
      <c r="C48" s="1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</row>
    <row r="49" spans="1:16">
      <c r="B49" t="str">
        <f t="shared" ref="B49:D53" si="5">IF(A49="","",VLOOKUP($A49,$A$2:$K$41,B$1,FALSE))</f>
        <v/>
      </c>
      <c r="C49" t="str">
        <f t="shared" si="5"/>
        <v/>
      </c>
      <c r="D49" t="str">
        <f t="shared" si="5"/>
        <v/>
      </c>
      <c r="E49" s="85" t="str">
        <f t="shared" ref="E49:N49" si="6">IF(D49="","",VLOOKUP($A49,$A$2:$N$41,E$1,FALSE))</f>
        <v/>
      </c>
      <c r="F49" s="85" t="str">
        <f t="shared" si="6"/>
        <v/>
      </c>
      <c r="G49" s="85" t="str">
        <f t="shared" si="6"/>
        <v/>
      </c>
      <c r="H49" s="85" t="str">
        <f t="shared" si="6"/>
        <v/>
      </c>
      <c r="I49" s="85" t="str">
        <f t="shared" si="6"/>
        <v/>
      </c>
      <c r="J49" s="85" t="str">
        <f t="shared" si="6"/>
        <v/>
      </c>
      <c r="K49" s="85" t="str">
        <f t="shared" si="6"/>
        <v/>
      </c>
      <c r="L49" s="85" t="str">
        <f t="shared" si="6"/>
        <v/>
      </c>
      <c r="M49" s="85" t="str">
        <f t="shared" si="6"/>
        <v/>
      </c>
      <c r="N49" s="85" t="str">
        <f t="shared" si="6"/>
        <v/>
      </c>
    </row>
    <row r="50" spans="1:16">
      <c r="A50"/>
      <c r="B50" t="str">
        <f t="shared" si="5"/>
        <v/>
      </c>
      <c r="C50" t="str">
        <f t="shared" si="5"/>
        <v/>
      </c>
      <c r="D50" t="str">
        <f t="shared" si="5"/>
        <v/>
      </c>
      <c r="E50" s="85" t="str">
        <f t="shared" ref="E50:N50" si="7">IF(D50="","",VLOOKUP($A50,$A$2:$N$41,E$1,FALSE))</f>
        <v/>
      </c>
      <c r="F50" s="85" t="str">
        <f t="shared" si="7"/>
        <v/>
      </c>
      <c r="G50" s="85" t="str">
        <f t="shared" si="7"/>
        <v/>
      </c>
      <c r="H50" s="85" t="str">
        <f t="shared" si="7"/>
        <v/>
      </c>
      <c r="I50" s="85" t="str">
        <f t="shared" si="7"/>
        <v/>
      </c>
      <c r="J50" s="85" t="str">
        <f t="shared" si="7"/>
        <v/>
      </c>
      <c r="K50" s="85" t="str">
        <f t="shared" si="7"/>
        <v/>
      </c>
      <c r="L50" s="85" t="str">
        <f t="shared" si="7"/>
        <v/>
      </c>
      <c r="M50" s="85" t="str">
        <f t="shared" si="7"/>
        <v/>
      </c>
      <c r="N50" s="85" t="str">
        <f t="shared" si="7"/>
        <v/>
      </c>
    </row>
    <row r="51" spans="1:16">
      <c r="A51"/>
      <c r="B51" t="str">
        <f t="shared" si="5"/>
        <v/>
      </c>
      <c r="C51" t="str">
        <f t="shared" si="5"/>
        <v/>
      </c>
      <c r="D51" t="str">
        <f t="shared" si="5"/>
        <v/>
      </c>
      <c r="E51" s="85" t="str">
        <f t="shared" ref="E51:N51" si="8">IF(D51="","",VLOOKUP($A51,$A$2:$N$41,E$1,FALSE))</f>
        <v/>
      </c>
      <c r="F51" s="85" t="str">
        <f t="shared" si="8"/>
        <v/>
      </c>
      <c r="G51" s="85" t="str">
        <f t="shared" si="8"/>
        <v/>
      </c>
      <c r="H51" s="85" t="str">
        <f t="shared" si="8"/>
        <v/>
      </c>
      <c r="I51" s="85" t="str">
        <f t="shared" si="8"/>
        <v/>
      </c>
      <c r="J51" s="85" t="str">
        <f t="shared" si="8"/>
        <v/>
      </c>
      <c r="K51" s="85" t="str">
        <f t="shared" si="8"/>
        <v/>
      </c>
      <c r="L51" s="85" t="str">
        <f t="shared" si="8"/>
        <v/>
      </c>
      <c r="M51" s="85" t="str">
        <f t="shared" si="8"/>
        <v/>
      </c>
      <c r="N51" s="85" t="str">
        <f t="shared" si="8"/>
        <v/>
      </c>
    </row>
    <row r="52" spans="1:16">
      <c r="A52"/>
      <c r="B52" t="str">
        <f t="shared" si="5"/>
        <v/>
      </c>
      <c r="C52" t="str">
        <f t="shared" si="5"/>
        <v/>
      </c>
      <c r="D52" t="str">
        <f t="shared" si="5"/>
        <v/>
      </c>
      <c r="E52" s="85" t="str">
        <f t="shared" ref="E52:N52" si="9">IF(D52="","",VLOOKUP($A52,$A$2:$N$41,E$1,FALSE))</f>
        <v/>
      </c>
      <c r="F52" s="85" t="str">
        <f t="shared" si="9"/>
        <v/>
      </c>
      <c r="G52" s="85" t="str">
        <f t="shared" si="9"/>
        <v/>
      </c>
      <c r="H52" s="85" t="str">
        <f t="shared" si="9"/>
        <v/>
      </c>
      <c r="I52" s="85" t="str">
        <f t="shared" si="9"/>
        <v/>
      </c>
      <c r="J52" s="85" t="str">
        <f t="shared" si="9"/>
        <v/>
      </c>
      <c r="K52" s="85" t="str">
        <f t="shared" si="9"/>
        <v/>
      </c>
      <c r="L52" s="85" t="str">
        <f t="shared" si="9"/>
        <v/>
      </c>
      <c r="M52" s="85" t="str">
        <f t="shared" si="9"/>
        <v/>
      </c>
      <c r="N52" s="85" t="str">
        <f t="shared" si="9"/>
        <v/>
      </c>
    </row>
    <row r="53" spans="1:16">
      <c r="B53" t="str">
        <f t="shared" si="5"/>
        <v/>
      </c>
      <c r="C53" t="str">
        <f t="shared" si="5"/>
        <v/>
      </c>
      <c r="D53" t="str">
        <f t="shared" si="5"/>
        <v/>
      </c>
      <c r="E53" s="85" t="str">
        <f t="shared" ref="E53:N53" si="10">IF(D53="","",VLOOKUP($A53,$A$2:$N$41,E$1,FALSE))</f>
        <v/>
      </c>
      <c r="F53" s="85" t="str">
        <f t="shared" si="10"/>
        <v/>
      </c>
      <c r="G53" s="85" t="str">
        <f t="shared" si="10"/>
        <v/>
      </c>
      <c r="H53" s="85" t="str">
        <f t="shared" si="10"/>
        <v/>
      </c>
      <c r="I53" s="85" t="str">
        <f t="shared" si="10"/>
        <v/>
      </c>
      <c r="J53" s="85" t="str">
        <f t="shared" si="10"/>
        <v/>
      </c>
      <c r="K53" s="85" t="str">
        <f t="shared" si="10"/>
        <v/>
      </c>
      <c r="L53" s="85" t="str">
        <f t="shared" si="10"/>
        <v/>
      </c>
      <c r="M53" s="85" t="str">
        <f t="shared" si="10"/>
        <v/>
      </c>
      <c r="N53" s="85" t="str">
        <f t="shared" si="10"/>
        <v/>
      </c>
    </row>
    <row r="54" spans="1:16">
      <c r="E54" s="85"/>
      <c r="F54" s="85"/>
      <c r="G54" s="85"/>
      <c r="H54" s="85"/>
      <c r="I54" s="85"/>
      <c r="J54" s="85"/>
      <c r="K54" s="85"/>
      <c r="L54" s="85"/>
      <c r="M54" s="85"/>
      <c r="N54" s="85"/>
    </row>
    <row r="55" spans="1:16" s="22" customFormat="1">
      <c r="A55" s="21" t="str">
        <f t="shared" ref="A55:K55" si="11">A2</f>
        <v>Player</v>
      </c>
      <c r="B55" s="21" t="str">
        <f t="shared" si="11"/>
        <v>Pos</v>
      </c>
      <c r="C55" s="21" t="str">
        <f t="shared" si="11"/>
        <v>Age</v>
      </c>
      <c r="D55" s="21" t="str">
        <f t="shared" si="11"/>
        <v>ML Service</v>
      </c>
      <c r="E55" s="21">
        <f t="shared" si="11"/>
        <v>2018</v>
      </c>
      <c r="F55" s="21">
        <f t="shared" si="11"/>
        <v>2019</v>
      </c>
      <c r="G55" s="21">
        <f t="shared" si="11"/>
        <v>2020</v>
      </c>
      <c r="H55" s="21">
        <f t="shared" si="11"/>
        <v>2021</v>
      </c>
      <c r="I55" s="21">
        <f t="shared" si="11"/>
        <v>2022</v>
      </c>
      <c r="J55" s="21">
        <f t="shared" si="11"/>
        <v>2023</v>
      </c>
      <c r="K55" s="21">
        <f t="shared" si="11"/>
        <v>2024</v>
      </c>
      <c r="L55" s="21">
        <f t="shared" ref="L55:N55" si="12">L2</f>
        <v>2025</v>
      </c>
      <c r="M55" s="21">
        <f t="shared" si="12"/>
        <v>2026</v>
      </c>
      <c r="N55" s="21">
        <f t="shared" si="12"/>
        <v>2027</v>
      </c>
    </row>
    <row r="56" spans="1:16" s="22" customFormat="1">
      <c r="A56" s="21" t="s">
        <v>227</v>
      </c>
      <c r="B56" s="21"/>
      <c r="C56" s="21"/>
      <c r="D56" s="21"/>
      <c r="E56" s="113">
        <f>E63+E46-E47</f>
        <v>0</v>
      </c>
      <c r="F56" s="113">
        <f t="shared" ref="F56:N56" si="13">F63+F46-F47</f>
        <v>15900000</v>
      </c>
      <c r="G56" s="113">
        <f t="shared" si="13"/>
        <v>0</v>
      </c>
      <c r="H56" s="113">
        <f t="shared" si="13"/>
        <v>0</v>
      </c>
      <c r="I56" s="113">
        <f t="shared" si="13"/>
        <v>0</v>
      </c>
      <c r="J56" s="113">
        <f t="shared" si="13"/>
        <v>0</v>
      </c>
      <c r="K56" s="113">
        <f t="shared" si="13"/>
        <v>0</v>
      </c>
      <c r="L56" s="113">
        <f t="shared" si="13"/>
        <v>0</v>
      </c>
      <c r="M56" s="113">
        <f t="shared" si="13"/>
        <v>0</v>
      </c>
      <c r="N56" s="113">
        <f t="shared" si="13"/>
        <v>0</v>
      </c>
    </row>
    <row r="57" spans="1:16" s="22" customFormat="1">
      <c r="A57" s="221" t="s">
        <v>423</v>
      </c>
      <c r="E57" s="23">
        <f>E44-E47+E63</f>
        <v>74812000</v>
      </c>
      <c r="F57" s="23">
        <f t="shared" ref="F57:N57" si="14">F44-F47+F63</f>
        <v>41918000</v>
      </c>
      <c r="G57" s="23">
        <f t="shared" si="14"/>
        <v>8178000</v>
      </c>
      <c r="H57" s="23">
        <f t="shared" si="14"/>
        <v>5728000</v>
      </c>
      <c r="I57" s="23">
        <f t="shared" si="14"/>
        <v>0</v>
      </c>
      <c r="J57" s="23">
        <f t="shared" si="14"/>
        <v>0</v>
      </c>
      <c r="K57" s="23">
        <f t="shared" si="14"/>
        <v>0</v>
      </c>
      <c r="L57" s="23">
        <f t="shared" si="14"/>
        <v>0</v>
      </c>
      <c r="M57" s="23">
        <f t="shared" si="14"/>
        <v>0</v>
      </c>
      <c r="N57" s="23">
        <f t="shared" si="14"/>
        <v>0</v>
      </c>
    </row>
    <row r="58" spans="1:16" s="22" customFormat="1">
      <c r="A58" s="21" t="s">
        <v>272</v>
      </c>
      <c r="E58" s="23">
        <f>'Fin Proj'!$B$4</f>
        <v>6740000</v>
      </c>
      <c r="F58" s="23">
        <f t="shared" ref="F58:K61" si="15">E58</f>
        <v>6740000</v>
      </c>
      <c r="G58" s="23">
        <f t="shared" si="15"/>
        <v>6740000</v>
      </c>
      <c r="H58" s="23">
        <f t="shared" si="15"/>
        <v>6740000</v>
      </c>
      <c r="I58" s="23">
        <f t="shared" si="15"/>
        <v>6740000</v>
      </c>
      <c r="J58" s="23">
        <f t="shared" si="15"/>
        <v>6740000</v>
      </c>
      <c r="K58" s="23">
        <f t="shared" si="15"/>
        <v>6740000</v>
      </c>
      <c r="L58" s="23">
        <f t="shared" ref="L58:N58" si="16">K58</f>
        <v>6740000</v>
      </c>
      <c r="M58" s="23">
        <f t="shared" si="16"/>
        <v>6740000</v>
      </c>
      <c r="N58" s="23">
        <f t="shared" si="16"/>
        <v>6740000</v>
      </c>
    </row>
    <row r="59" spans="1:16" s="22" customFormat="1">
      <c r="A59" s="279" t="s">
        <v>587</v>
      </c>
      <c r="E59" s="23">
        <v>7500000</v>
      </c>
      <c r="F59" s="23">
        <f t="shared" ref="F59:F60" si="17">E59</f>
        <v>7500000</v>
      </c>
      <c r="G59" s="23">
        <f t="shared" ref="G59:G60" si="18">F59</f>
        <v>7500000</v>
      </c>
      <c r="H59" s="23">
        <f t="shared" ref="H59:H60" si="19">G59</f>
        <v>7500000</v>
      </c>
      <c r="I59" s="23">
        <f t="shared" ref="I59:I60" si="20">H59</f>
        <v>7500000</v>
      </c>
      <c r="J59" s="23">
        <f t="shared" ref="J59:J60" si="21">I59</f>
        <v>7500000</v>
      </c>
      <c r="K59" s="23">
        <f t="shared" ref="K59:K60" si="22">J59</f>
        <v>7500000</v>
      </c>
      <c r="L59" s="23">
        <f t="shared" ref="L59:L60" si="23">K59</f>
        <v>7500000</v>
      </c>
      <c r="M59" s="23">
        <f t="shared" ref="M59:M60" si="24">L59</f>
        <v>7500000</v>
      </c>
      <c r="N59" s="23">
        <f t="shared" ref="N59:N60" si="25">M59</f>
        <v>7500000</v>
      </c>
    </row>
    <row r="60" spans="1:16" s="22" customFormat="1">
      <c r="A60" s="279" t="s">
        <v>588</v>
      </c>
      <c r="E60" s="23">
        <v>7500000</v>
      </c>
      <c r="F60" s="23">
        <f t="shared" si="17"/>
        <v>7500000</v>
      </c>
      <c r="G60" s="23">
        <f t="shared" si="18"/>
        <v>7500000</v>
      </c>
      <c r="H60" s="23">
        <f t="shared" si="19"/>
        <v>7500000</v>
      </c>
      <c r="I60" s="23">
        <f t="shared" si="20"/>
        <v>7500000</v>
      </c>
      <c r="J60" s="23">
        <f t="shared" si="21"/>
        <v>7500000</v>
      </c>
      <c r="K60" s="23">
        <f t="shared" si="22"/>
        <v>7500000</v>
      </c>
      <c r="L60" s="23">
        <f t="shared" si="23"/>
        <v>7500000</v>
      </c>
      <c r="M60" s="23">
        <f t="shared" si="24"/>
        <v>7500000</v>
      </c>
      <c r="N60" s="23">
        <f t="shared" si="25"/>
        <v>7500000</v>
      </c>
    </row>
    <row r="61" spans="1:16" s="22" customFormat="1">
      <c r="A61" s="21" t="s">
        <v>307</v>
      </c>
      <c r="E61" s="23">
        <f>'Fin Proj'!$B$6</f>
        <v>86050000</v>
      </c>
      <c r="F61" s="23">
        <f t="shared" si="15"/>
        <v>86050000</v>
      </c>
      <c r="G61" s="23">
        <f t="shared" si="15"/>
        <v>86050000</v>
      </c>
      <c r="H61" s="23">
        <f t="shared" si="15"/>
        <v>86050000</v>
      </c>
      <c r="I61" s="23">
        <f t="shared" si="15"/>
        <v>86050000</v>
      </c>
      <c r="J61" s="23">
        <f t="shared" si="15"/>
        <v>86050000</v>
      </c>
      <c r="K61" s="23">
        <f t="shared" si="15"/>
        <v>86050000</v>
      </c>
      <c r="L61" s="23">
        <f t="shared" ref="L61:N61" si="26">K61</f>
        <v>86050000</v>
      </c>
      <c r="M61" s="23">
        <f t="shared" si="26"/>
        <v>86050000</v>
      </c>
      <c r="N61" s="23">
        <f t="shared" si="26"/>
        <v>86050000</v>
      </c>
    </row>
    <row r="62" spans="1:16" s="22" customFormat="1">
      <c r="A62" s="21" t="s">
        <v>308</v>
      </c>
      <c r="E62" s="23">
        <f t="shared" ref="E62:N62" si="27">E61-SUM(E57:E60)</f>
        <v>-10502000</v>
      </c>
      <c r="F62" s="23">
        <f t="shared" si="27"/>
        <v>22392000</v>
      </c>
      <c r="G62" s="23">
        <f t="shared" si="27"/>
        <v>56132000</v>
      </c>
      <c r="H62" s="23">
        <f t="shared" si="27"/>
        <v>58582000</v>
      </c>
      <c r="I62" s="23">
        <f t="shared" si="27"/>
        <v>64310000</v>
      </c>
      <c r="J62" s="23">
        <f t="shared" si="27"/>
        <v>64310000</v>
      </c>
      <c r="K62" s="23">
        <f t="shared" si="27"/>
        <v>64310000</v>
      </c>
      <c r="L62" s="23">
        <f t="shared" si="27"/>
        <v>64310000</v>
      </c>
      <c r="M62" s="23">
        <f t="shared" si="27"/>
        <v>64310000</v>
      </c>
      <c r="N62" s="23">
        <f t="shared" si="27"/>
        <v>64310000</v>
      </c>
    </row>
    <row r="63" spans="1:16">
      <c r="A63" s="1" t="s">
        <v>126</v>
      </c>
      <c r="E63" s="10">
        <f>SUM(E64:E80)</f>
        <v>0</v>
      </c>
      <c r="F63" s="10">
        <f>SUM(F64:F80)</f>
        <v>15900000</v>
      </c>
      <c r="G63" s="10">
        <f>SUM(G64:G80)</f>
        <v>0</v>
      </c>
      <c r="H63" s="10">
        <f>SUM(H64:H80)</f>
        <v>0</v>
      </c>
      <c r="I63" s="10">
        <f t="shared" ref="I63:K63" si="28">SUM(I64:I80)</f>
        <v>0</v>
      </c>
      <c r="J63" s="10">
        <f t="shared" si="28"/>
        <v>0</v>
      </c>
      <c r="K63" s="10">
        <f t="shared" si="28"/>
        <v>0</v>
      </c>
      <c r="L63" s="10">
        <f t="shared" ref="L63:N63" si="29">SUM(L64:L80)</f>
        <v>0</v>
      </c>
      <c r="M63" s="10">
        <f t="shared" si="29"/>
        <v>0</v>
      </c>
      <c r="N63" s="10">
        <f t="shared" si="29"/>
        <v>0</v>
      </c>
      <c r="O63" s="1" t="s">
        <v>265</v>
      </c>
      <c r="P63" s="1" t="s">
        <v>322</v>
      </c>
    </row>
    <row r="64" spans="1:16">
      <c r="A64"/>
      <c r="D64" s="85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>
        <f>SUM(E64:N64)</f>
        <v>0</v>
      </c>
      <c r="P64" s="85">
        <f>IF(O64&gt;0,O64/COUNT($E64:$N64),0)</f>
        <v>0</v>
      </c>
    </row>
    <row r="65" spans="1:16" s="227" customFormat="1">
      <c r="A65" s="226"/>
      <c r="D65" s="228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>
        <f t="shared" ref="O65:O80" si="30">SUM(E65:N65)</f>
        <v>0</v>
      </c>
      <c r="P65" s="228">
        <f t="shared" ref="P65:P80" si="31">IF(O65&gt;0,O65/COUNT($E65:$N65),0)</f>
        <v>0</v>
      </c>
    </row>
    <row r="66" spans="1:16" s="227" customFormat="1">
      <c r="A66" s="227" t="s">
        <v>331</v>
      </c>
      <c r="D66" s="228"/>
      <c r="E66" s="229"/>
      <c r="F66" s="229">
        <v>9000000</v>
      </c>
      <c r="G66" s="229"/>
      <c r="H66" s="229"/>
      <c r="I66" s="229"/>
      <c r="J66" s="229"/>
      <c r="K66" s="229"/>
      <c r="L66" s="229"/>
      <c r="M66" s="229"/>
      <c r="N66" s="229"/>
      <c r="O66" s="229">
        <f t="shared" si="30"/>
        <v>9000000</v>
      </c>
      <c r="P66" s="228">
        <f t="shared" si="31"/>
        <v>9000000</v>
      </c>
    </row>
    <row r="67" spans="1:16" s="227" customFormat="1">
      <c r="A67" s="227" t="s">
        <v>330</v>
      </c>
      <c r="D67" s="228"/>
      <c r="E67" s="229"/>
      <c r="F67" s="229">
        <v>6000000</v>
      </c>
      <c r="G67" s="229"/>
      <c r="H67" s="229"/>
      <c r="I67" s="229"/>
      <c r="J67" s="229"/>
      <c r="K67" s="229"/>
      <c r="L67" s="229"/>
      <c r="M67" s="229"/>
      <c r="N67" s="229"/>
      <c r="O67" s="229">
        <f t="shared" si="30"/>
        <v>6000000</v>
      </c>
      <c r="P67" s="228">
        <f t="shared" si="31"/>
        <v>6000000</v>
      </c>
    </row>
    <row r="68" spans="1:16" s="227" customFormat="1">
      <c r="A68" s="227" t="s">
        <v>329</v>
      </c>
      <c r="D68" s="228"/>
      <c r="E68" s="229"/>
      <c r="F68" s="229" t="s">
        <v>597</v>
      </c>
      <c r="G68" s="229"/>
      <c r="H68" s="229"/>
      <c r="I68" s="229"/>
      <c r="J68" s="229"/>
      <c r="K68" s="229"/>
      <c r="L68" s="229"/>
      <c r="M68" s="229"/>
      <c r="N68" s="229"/>
      <c r="O68" s="229">
        <f t="shared" si="30"/>
        <v>0</v>
      </c>
      <c r="P68" s="228">
        <f t="shared" si="31"/>
        <v>0</v>
      </c>
    </row>
    <row r="69" spans="1:16" s="227" customFormat="1">
      <c r="A69" s="227" t="s">
        <v>393</v>
      </c>
      <c r="D69" s="228"/>
      <c r="E69" s="229"/>
      <c r="F69" s="229" t="s">
        <v>597</v>
      </c>
      <c r="G69" s="229"/>
      <c r="H69" s="229"/>
      <c r="I69" s="229"/>
      <c r="J69" s="229"/>
      <c r="K69" s="229"/>
      <c r="L69" s="229"/>
      <c r="M69" s="229"/>
      <c r="N69" s="229"/>
      <c r="O69" s="229">
        <f t="shared" si="30"/>
        <v>0</v>
      </c>
      <c r="P69" s="228">
        <f t="shared" si="31"/>
        <v>0</v>
      </c>
    </row>
    <row r="70" spans="1:16" s="227" customFormat="1">
      <c r="A70" s="227" t="s">
        <v>487</v>
      </c>
      <c r="D70" s="228"/>
      <c r="E70" s="229"/>
      <c r="F70" s="229" t="s">
        <v>597</v>
      </c>
      <c r="G70" s="229"/>
      <c r="H70" s="229"/>
      <c r="I70" s="229"/>
      <c r="J70" s="229"/>
      <c r="K70" s="229"/>
      <c r="L70" s="229"/>
      <c r="M70" s="229"/>
      <c r="N70" s="229"/>
      <c r="O70" s="229"/>
      <c r="P70" s="228"/>
    </row>
    <row r="71" spans="1:16" s="227" customFormat="1">
      <c r="A71" s="227" t="s">
        <v>429</v>
      </c>
      <c r="D71" s="228"/>
      <c r="E71" s="229"/>
      <c r="F71" s="229">
        <v>900000</v>
      </c>
      <c r="G71" s="229"/>
      <c r="H71" s="229"/>
      <c r="I71" s="229"/>
      <c r="J71" s="229"/>
      <c r="K71" s="229"/>
      <c r="L71" s="229"/>
      <c r="M71" s="229"/>
      <c r="N71" s="229"/>
      <c r="O71" s="229"/>
      <c r="P71" s="228"/>
    </row>
    <row r="72" spans="1:16" s="227" customFormat="1">
      <c r="D72" s="228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>
        <f t="shared" si="30"/>
        <v>0</v>
      </c>
      <c r="P72" s="228">
        <f t="shared" si="31"/>
        <v>0</v>
      </c>
    </row>
    <row r="73" spans="1:16"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>
        <f t="shared" si="30"/>
        <v>0</v>
      </c>
      <c r="P73" s="85">
        <f t="shared" si="31"/>
        <v>0</v>
      </c>
    </row>
    <row r="74" spans="1:16" s="230" customFormat="1"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>
        <f t="shared" si="30"/>
        <v>0</v>
      </c>
      <c r="P74" s="232">
        <f t="shared" si="31"/>
        <v>0</v>
      </c>
    </row>
    <row r="75" spans="1:16" s="230" customFormat="1">
      <c r="A75" s="231"/>
      <c r="B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>
        <f t="shared" si="30"/>
        <v>0</v>
      </c>
      <c r="P75" s="232">
        <f t="shared" si="31"/>
        <v>0</v>
      </c>
    </row>
    <row r="76" spans="1:16" s="230" customFormat="1">
      <c r="A76" s="231"/>
      <c r="B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>
        <f t="shared" si="30"/>
        <v>0</v>
      </c>
      <c r="P76" s="232">
        <f t="shared" si="31"/>
        <v>0</v>
      </c>
    </row>
    <row r="77" spans="1:16" s="230" customFormat="1">
      <c r="A77" s="231"/>
      <c r="B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>
        <f t="shared" si="30"/>
        <v>0</v>
      </c>
      <c r="P77" s="232">
        <f t="shared" si="31"/>
        <v>0</v>
      </c>
    </row>
    <row r="78" spans="1:16" s="230" customFormat="1">
      <c r="A78" s="233"/>
      <c r="B78" s="231"/>
      <c r="D78" s="231"/>
      <c r="E78" s="231"/>
      <c r="F78" s="231"/>
      <c r="G78" s="231"/>
      <c r="O78" s="231">
        <f t="shared" si="30"/>
        <v>0</v>
      </c>
      <c r="P78" s="232">
        <f t="shared" si="31"/>
        <v>0</v>
      </c>
    </row>
    <row r="79" spans="1:16" s="230" customFormat="1">
      <c r="A79" s="231"/>
      <c r="B79" s="231"/>
      <c r="D79" s="231"/>
      <c r="E79" s="231"/>
      <c r="F79" s="231"/>
      <c r="G79" s="231"/>
      <c r="O79" s="231"/>
      <c r="P79" s="232"/>
    </row>
    <row r="80" spans="1:16" s="230" customFormat="1">
      <c r="A80" s="231"/>
      <c r="B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>
        <f t="shared" si="30"/>
        <v>0</v>
      </c>
      <c r="P80" s="232">
        <f t="shared" si="31"/>
        <v>0</v>
      </c>
    </row>
    <row r="82" spans="1:16">
      <c r="A82" t="s">
        <v>443</v>
      </c>
      <c r="E82" s="10">
        <f t="shared" ref="E82:K82" si="32">E43+E56</f>
        <v>74812000</v>
      </c>
      <c r="F82" s="10">
        <f t="shared" si="32"/>
        <v>40660000</v>
      </c>
      <c r="G82" s="10">
        <f t="shared" si="32"/>
        <v>12250000</v>
      </c>
      <c r="H82" s="10">
        <f t="shared" si="32"/>
        <v>12250000</v>
      </c>
      <c r="I82" s="10">
        <f t="shared" si="32"/>
        <v>12250000</v>
      </c>
      <c r="J82" s="10">
        <f t="shared" si="32"/>
        <v>12250000</v>
      </c>
      <c r="K82" s="10">
        <f t="shared" si="32"/>
        <v>12250000</v>
      </c>
    </row>
    <row r="84" spans="1:16" s="1" customFormat="1">
      <c r="A84" s="1" t="s">
        <v>321</v>
      </c>
      <c r="B84" s="1" t="s">
        <v>122</v>
      </c>
      <c r="C84" s="1" t="s">
        <v>323</v>
      </c>
      <c r="D84" s="1" t="s">
        <v>265</v>
      </c>
      <c r="E84" s="1">
        <f>E2</f>
        <v>2018</v>
      </c>
      <c r="F84" s="1">
        <f t="shared" ref="F84:K84" si="33">F2</f>
        <v>2019</v>
      </c>
      <c r="G84" s="1">
        <f t="shared" si="33"/>
        <v>2020</v>
      </c>
      <c r="H84" s="1">
        <f t="shared" si="33"/>
        <v>2021</v>
      </c>
      <c r="I84" s="1">
        <f t="shared" si="33"/>
        <v>2022</v>
      </c>
      <c r="J84" s="1">
        <f t="shared" si="33"/>
        <v>2023</v>
      </c>
      <c r="K84" s="1">
        <f t="shared" si="33"/>
        <v>2024</v>
      </c>
      <c r="L84" s="1">
        <f t="shared" ref="L84:N84" si="34">L2</f>
        <v>2025</v>
      </c>
      <c r="M84" s="1">
        <f t="shared" si="34"/>
        <v>2026</v>
      </c>
      <c r="N84" s="1">
        <f t="shared" si="34"/>
        <v>2027</v>
      </c>
      <c r="O84" s="1" t="s">
        <v>265</v>
      </c>
      <c r="P84" s="1" t="s">
        <v>322</v>
      </c>
    </row>
    <row r="85" spans="1:16">
      <c r="A85" t="s">
        <v>330</v>
      </c>
      <c r="B85" t="str">
        <f>IF($A85="","",VLOOKUP($A85,$A$2:$K$41,B$1,FALSE))</f>
        <v>C</v>
      </c>
      <c r="C85">
        <f>IF($A85="","",VLOOKUP($A85,$A$2:$K$41,C$1,FALSE)+COUNT(F85:N85))</f>
        <v>30</v>
      </c>
      <c r="D85" s="85" t="str">
        <f>IF(C85="","",VLOOKUP($A85,$A$2:$N$41,D$1,FALSE))</f>
        <v>6 yrs, 67 days</v>
      </c>
      <c r="E85" s="85">
        <v>4400000</v>
      </c>
      <c r="F85" s="85">
        <f>E85*1.1</f>
        <v>4840000</v>
      </c>
      <c r="G85" s="85">
        <f>F85*1.1</f>
        <v>5324000</v>
      </c>
      <c r="H85" s="85"/>
      <c r="I85" s="85"/>
      <c r="J85" s="85"/>
      <c r="K85" s="85"/>
      <c r="L85" s="85"/>
      <c r="M85" s="85"/>
      <c r="N85" s="85"/>
      <c r="O85" s="10">
        <f>SUM(E85:N85)</f>
        <v>14564000</v>
      </c>
      <c r="P85" s="85">
        <f>IF(O85&gt;0,O85/COUNT($E85:$N85),0)</f>
        <v>4854666.666666667</v>
      </c>
    </row>
    <row r="86" spans="1:16"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10">
        <f>SUM(E86:N86)</f>
        <v>0</v>
      </c>
      <c r="P86" s="85">
        <f>IF(O86&gt;0,O86/COUNT($E86:$N86),0)</f>
        <v>0</v>
      </c>
    </row>
    <row r="87" spans="1:16">
      <c r="A87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10">
        <f>SUM(E87:N87)</f>
        <v>0</v>
      </c>
      <c r="P87" s="85">
        <f>IF(O87&gt;0,O87/COUNT($E87:$N87),0)</f>
        <v>0</v>
      </c>
    </row>
    <row r="88" spans="1:16"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10">
        <f>SUM(E88:N88)</f>
        <v>0</v>
      </c>
      <c r="P88" s="85">
        <f>IF(O88&gt;0,O88/COUNT($E88:$N88),0)</f>
        <v>0</v>
      </c>
    </row>
    <row r="89" spans="1:16">
      <c r="D89" s="85"/>
      <c r="E89" s="85"/>
      <c r="F89" s="85"/>
      <c r="G89" s="85"/>
      <c r="H89" s="112"/>
      <c r="I89" s="112"/>
      <c r="J89" s="112"/>
      <c r="K89" s="112" t="str">
        <f t="shared" ref="K89:N89" si="35">IF(J88="","",J88*$O88)</f>
        <v/>
      </c>
      <c r="L89" s="112" t="str">
        <f t="shared" si="35"/>
        <v/>
      </c>
      <c r="M89" s="112" t="str">
        <f t="shared" si="35"/>
        <v/>
      </c>
      <c r="N89" s="112" t="str">
        <f t="shared" si="35"/>
        <v/>
      </c>
      <c r="O89" s="10">
        <f>SUM(E89:N89)</f>
        <v>0</v>
      </c>
      <c r="P89" s="85">
        <f>IF(O89&gt;0,O89/COUNT($E89:$N89),0)</f>
        <v>0</v>
      </c>
    </row>
  </sheetData>
  <mergeCells count="3">
    <mergeCell ref="A43:D43"/>
    <mergeCell ref="A41:D41"/>
    <mergeCell ref="A42:D42"/>
  </mergeCells>
  <hyperlinks>
    <hyperlink ref="A3" r:id="rId1" display="http://wikipeba.com/statslab13/payroll.php?player=3959"/>
    <hyperlink ref="A4" r:id="rId2" display="http://wikipeba.com/statslab13/payroll.php?player=9348"/>
    <hyperlink ref="A5" r:id="rId3" display="http://wikipeba.com/statslab13/payroll.php?player=4180"/>
    <hyperlink ref="A6" r:id="rId4" display="http://wikipeba.com/statslab13/payroll.php?player=10036"/>
    <hyperlink ref="A7" r:id="rId5" display="http://wikipeba.com/statslab13/payroll.php?player=4700"/>
    <hyperlink ref="A8" r:id="rId6" display="http://wikipeba.com/statslab13/payroll.php?player=3560"/>
    <hyperlink ref="A9" r:id="rId7" display="http://wikipeba.com/statslab13/payroll.php?player=11843"/>
    <hyperlink ref="A10" r:id="rId8" display="http://wikipeba.com/statslab13/payroll.php?player=3496"/>
    <hyperlink ref="A11" r:id="rId9" display="http://wikipeba.com/statslab13/payroll.php?player=1428"/>
    <hyperlink ref="A12" r:id="rId10" display="http://wikipeba.com/statslab13/payroll.php?player=3267"/>
    <hyperlink ref="A13" r:id="rId11" display="http://wikipeba.com/statslab13/payroll.php?player=486"/>
    <hyperlink ref="A14" r:id="rId12" display="http://wikipeba.com/statslab13/payroll.php?player=10569"/>
    <hyperlink ref="A15" r:id="rId13" display="http://wikipeba.com/statslab13/payroll.php?player=10363"/>
    <hyperlink ref="A16" r:id="rId14" display="http://wikipeba.com/statslab13/payroll.php?player=10344"/>
    <hyperlink ref="A17" r:id="rId15" display="http://wikipeba.com/statslab13/payroll.php?player=12148"/>
    <hyperlink ref="A18" r:id="rId16" display="http://wikipeba.com/statslab13/payroll.php?player=10592"/>
    <hyperlink ref="A19" r:id="rId17" display="http://wikipeba.com/statslab13/payroll.php?player=10630"/>
    <hyperlink ref="A20" r:id="rId18" display="http://wikipeba.com/statslab13/payroll.php?player=11204"/>
    <hyperlink ref="A21" r:id="rId19" display="http://wikipeba.com/statslab13/payroll.php?player=11101"/>
    <hyperlink ref="A22" r:id="rId20" display="http://wikipeba.com/statslab13/payroll.php?player=11871"/>
    <hyperlink ref="A23" r:id="rId21" display="http://wikipeba.com/statslab13/payroll.php?player=10647"/>
    <hyperlink ref="A24" r:id="rId22" display="http://wikipeba.com/statslab13/payroll.php?player=10318"/>
    <hyperlink ref="A25" r:id="rId23" display="http://wikipeba.com/statslab13/payroll.php?player=9686"/>
    <hyperlink ref="A26" r:id="rId24" display="http://wikipeba.com/statslab13/payroll.php?player=3110"/>
    <hyperlink ref="A27" r:id="rId25" display="http://wikipeba.com/statslab13/payroll.php?player=2332"/>
    <hyperlink ref="A28" r:id="rId26" display="http://wikipeba.com/statslab13/payroll.php?player=2142"/>
    <hyperlink ref="A29" r:id="rId27" display="http://wikipeba.com/statslab13/payroll.php?player=1433"/>
    <hyperlink ref="A30" r:id="rId28" display="http://wikipeba.com/statslab13/payroll.php?player=4650"/>
    <hyperlink ref="A31" r:id="rId29" display="http://wikipeba.com/statslab13/payroll.php?player=7563"/>
    <hyperlink ref="A32" r:id="rId30" display="http://wikipeba.com/statslab13/payroll.php?player=9906"/>
    <hyperlink ref="A33" r:id="rId31" display="http://wikipeba.com/statslab13/payroll.php?player=9799"/>
    <hyperlink ref="A34" r:id="rId32" display="http://wikipeba.com/statslab13/payroll.php?player=1148"/>
    <hyperlink ref="A35" r:id="rId33" display="http://wikipeba.com/statslab13/payroll.php?player=39"/>
    <hyperlink ref="A36" r:id="rId34" display="http://wikipeba.com/statslab13/payroll.php?player=9953"/>
  </hyperlinks>
  <pageMargins left="0.7" right="0.7" top="0.75" bottom="0.75" header="0.3" footer="0.3"/>
  <pageSetup orientation="portrait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 codeName="Sheet4">
    <tabColor theme="9"/>
  </sheetPr>
  <dimension ref="A1:L116"/>
  <sheetViews>
    <sheetView workbookViewId="0">
      <selection activeCell="C15" sqref="C15"/>
    </sheetView>
  </sheetViews>
  <sheetFormatPr defaultRowHeight="15"/>
  <cols>
    <col min="1" max="1" width="24.5703125" bestFit="1" customWidth="1"/>
    <col min="2" max="2" width="14.28515625" bestFit="1" customWidth="1"/>
    <col min="3" max="3" width="20.5703125" bestFit="1" customWidth="1"/>
    <col min="4" max="4" width="14.28515625" bestFit="1" customWidth="1"/>
    <col min="5" max="5" width="20.5703125" bestFit="1" customWidth="1"/>
    <col min="6" max="6" width="14.28515625" bestFit="1" customWidth="1"/>
    <col min="7" max="7" width="20.5703125" bestFit="1" customWidth="1"/>
    <col min="8" max="8" width="14.28515625" bestFit="1" customWidth="1"/>
    <col min="9" max="9" width="26.42578125" customWidth="1"/>
    <col min="10" max="10" width="14.28515625" bestFit="1" customWidth="1"/>
    <col min="11" max="11" width="9" bestFit="1" customWidth="1"/>
    <col min="12" max="12" width="12.5703125" bestFit="1" customWidth="1"/>
  </cols>
  <sheetData>
    <row r="1" spans="1:12" ht="15.75" thickBot="1"/>
    <row r="2" spans="1:12" ht="15.75" customHeight="1" thickBot="1">
      <c r="A2" s="301" t="s">
        <v>270</v>
      </c>
      <c r="B2" s="302"/>
      <c r="C2" s="303" t="s">
        <v>279</v>
      </c>
      <c r="D2" s="304"/>
      <c r="E2" s="303" t="s">
        <v>291</v>
      </c>
      <c r="F2" s="304"/>
      <c r="G2" s="303" t="s">
        <v>304</v>
      </c>
      <c r="H2" s="304"/>
      <c r="I2" s="167" t="s">
        <v>345</v>
      </c>
      <c r="J2" s="181" t="s">
        <v>346</v>
      </c>
      <c r="K2" s="168" t="s">
        <v>294</v>
      </c>
    </row>
    <row r="3" spans="1:12">
      <c r="A3" s="272" t="s">
        <v>271</v>
      </c>
      <c r="B3" s="273" t="s">
        <v>353</v>
      </c>
      <c r="C3" s="272" t="s">
        <v>280</v>
      </c>
      <c r="D3" s="278">
        <v>1149213</v>
      </c>
      <c r="E3" s="272" t="s">
        <v>280</v>
      </c>
      <c r="F3" s="278">
        <v>2312759</v>
      </c>
      <c r="G3" s="146" t="s">
        <v>280</v>
      </c>
      <c r="H3" s="150">
        <f>D19</f>
        <v>3002763</v>
      </c>
      <c r="I3" s="146" t="s">
        <v>280</v>
      </c>
      <c r="J3" s="169">
        <f>H3-F3</f>
        <v>690004</v>
      </c>
      <c r="K3" s="177">
        <f>H3/F3</f>
        <v>1.2983466932784609</v>
      </c>
    </row>
    <row r="4" spans="1:12">
      <c r="A4" s="272" t="s">
        <v>272</v>
      </c>
      <c r="B4" s="274">
        <v>6740000</v>
      </c>
      <c r="C4" s="272" t="s">
        <v>281</v>
      </c>
      <c r="D4" s="278">
        <v>37071</v>
      </c>
      <c r="E4" s="272" t="s">
        <v>281</v>
      </c>
      <c r="F4" s="278">
        <v>28553</v>
      </c>
      <c r="G4" s="144" t="s">
        <v>281</v>
      </c>
      <c r="H4" s="151">
        <f>D4</f>
        <v>37071</v>
      </c>
      <c r="I4" s="144" t="s">
        <v>281</v>
      </c>
      <c r="J4" s="170">
        <f>D4-F4</f>
        <v>8518</v>
      </c>
      <c r="K4" s="178">
        <f>D4/F4</f>
        <v>1.298322417959584</v>
      </c>
    </row>
    <row r="5" spans="1:12">
      <c r="A5" s="272" t="s">
        <v>273</v>
      </c>
      <c r="B5" s="274">
        <v>74812000</v>
      </c>
      <c r="C5" s="272"/>
      <c r="D5" s="273"/>
      <c r="E5" s="272"/>
      <c r="F5" s="273"/>
      <c r="G5" s="146"/>
      <c r="H5" s="149"/>
      <c r="I5" s="146"/>
      <c r="J5" s="171"/>
      <c r="K5" s="149"/>
    </row>
    <row r="6" spans="1:12">
      <c r="A6" s="272" t="s">
        <v>274</v>
      </c>
      <c r="B6" s="274">
        <v>86050000</v>
      </c>
      <c r="C6" s="272" t="s">
        <v>282</v>
      </c>
      <c r="D6" s="274">
        <v>28730325</v>
      </c>
      <c r="E6" s="272" t="s">
        <v>282</v>
      </c>
      <c r="F6" s="274">
        <v>50880698</v>
      </c>
      <c r="G6" s="144" t="s">
        <v>282</v>
      </c>
      <c r="H6" s="148">
        <f>D20</f>
        <v>75069075</v>
      </c>
      <c r="I6" s="144" t="s">
        <v>282</v>
      </c>
      <c r="J6" s="172">
        <f>H6-F6</f>
        <v>24188377</v>
      </c>
      <c r="K6" s="178">
        <f>H6/F6</f>
        <v>1.4753939696346148</v>
      </c>
    </row>
    <row r="7" spans="1:12">
      <c r="A7" s="272" t="s">
        <v>275</v>
      </c>
      <c r="B7" s="277">
        <v>-6552636</v>
      </c>
      <c r="C7" s="272" t="s">
        <v>283</v>
      </c>
      <c r="D7" s="274">
        <v>0</v>
      </c>
      <c r="E7" s="272" t="s">
        <v>283</v>
      </c>
      <c r="F7" s="274">
        <v>0</v>
      </c>
      <c r="G7" s="146" t="s">
        <v>283</v>
      </c>
      <c r="H7" s="147">
        <v>0</v>
      </c>
      <c r="I7" s="146" t="s">
        <v>283</v>
      </c>
      <c r="J7" s="173">
        <f t="shared" ref="J7:J8" si="0">D7-F7</f>
        <v>0</v>
      </c>
      <c r="K7" s="177" t="e">
        <f t="shared" ref="K7" si="1">D7/F7</f>
        <v>#DIV/0!</v>
      </c>
    </row>
    <row r="8" spans="1:12">
      <c r="A8" s="272"/>
      <c r="B8" s="273"/>
      <c r="C8" s="272" t="s">
        <v>284</v>
      </c>
      <c r="D8" s="274">
        <v>33500000</v>
      </c>
      <c r="E8" s="272" t="s">
        <v>284</v>
      </c>
      <c r="F8" s="274">
        <v>34500000</v>
      </c>
      <c r="G8" s="144" t="s">
        <v>284</v>
      </c>
      <c r="H8" s="148">
        <f>D8</f>
        <v>33500000</v>
      </c>
      <c r="I8" s="144" t="s">
        <v>284</v>
      </c>
      <c r="J8" s="172">
        <f t="shared" si="0"/>
        <v>-1000000</v>
      </c>
      <c r="K8" s="178">
        <f>H8/F8</f>
        <v>0.97101449275362317</v>
      </c>
    </row>
    <row r="9" spans="1:12" ht="25.5">
      <c r="A9" s="272" t="s">
        <v>276</v>
      </c>
      <c r="B9" s="274">
        <v>2200353</v>
      </c>
      <c r="C9" s="272" t="s">
        <v>285</v>
      </c>
      <c r="D9" s="274">
        <v>3176510</v>
      </c>
      <c r="E9" s="272" t="s">
        <v>285</v>
      </c>
      <c r="F9" s="274">
        <v>6780451</v>
      </c>
      <c r="G9" s="146" t="s">
        <v>285</v>
      </c>
      <c r="H9" s="147">
        <f>D22</f>
        <v>8299859.7275961898</v>
      </c>
      <c r="I9" s="146" t="s">
        <v>285</v>
      </c>
      <c r="J9" s="173">
        <f>H9-F9</f>
        <v>1519408.7275961898</v>
      </c>
      <c r="K9" s="177">
        <f>H9/F9</f>
        <v>1.2240866761807128</v>
      </c>
      <c r="L9" s="10">
        <f>SUM(J6:J9)</f>
        <v>24707785.72759619</v>
      </c>
    </row>
    <row r="10" spans="1:12">
      <c r="A10" s="272" t="s">
        <v>277</v>
      </c>
      <c r="B10" s="274">
        <v>2557981</v>
      </c>
      <c r="C10" s="272" t="s">
        <v>286</v>
      </c>
      <c r="D10" s="274">
        <v>11357922</v>
      </c>
      <c r="E10" s="272" t="s">
        <v>286</v>
      </c>
      <c r="F10" s="274">
        <v>9493967</v>
      </c>
      <c r="G10" s="144" t="s">
        <v>286</v>
      </c>
      <c r="H10" s="148"/>
      <c r="I10" s="144" t="s">
        <v>286</v>
      </c>
      <c r="J10" s="172">
        <f t="shared" ref="J10" si="2">D10-F10</f>
        <v>1863955</v>
      </c>
      <c r="K10" s="178">
        <f t="shared" ref="K10" si="3">D10/F10</f>
        <v>1.1963304696550978</v>
      </c>
    </row>
    <row r="11" spans="1:12">
      <c r="A11" s="272" t="s">
        <v>278</v>
      </c>
      <c r="B11" s="273"/>
      <c r="C11" s="272" t="s">
        <v>287</v>
      </c>
      <c r="D11" s="277">
        <v>-1400066</v>
      </c>
      <c r="E11" s="272" t="s">
        <v>287</v>
      </c>
      <c r="F11" s="277">
        <v>-15775286</v>
      </c>
      <c r="G11" s="146" t="s">
        <v>287</v>
      </c>
      <c r="H11" s="152">
        <f>D11</f>
        <v>-1400066</v>
      </c>
      <c r="I11" s="146" t="s">
        <v>287</v>
      </c>
      <c r="J11" s="174">
        <f>D11-F11</f>
        <v>14375220</v>
      </c>
      <c r="K11" s="179">
        <f>D11/F11</f>
        <v>8.8750593808568673E-2</v>
      </c>
    </row>
    <row r="12" spans="1:12">
      <c r="A12" s="276" t="s">
        <v>599</v>
      </c>
      <c r="B12" s="274">
        <v>15000000</v>
      </c>
      <c r="C12" s="272"/>
      <c r="D12" s="273"/>
      <c r="E12" s="272"/>
      <c r="F12" s="273"/>
      <c r="G12" s="144"/>
      <c r="H12" s="145"/>
      <c r="I12" s="144"/>
      <c r="J12" s="175"/>
      <c r="K12" s="145"/>
    </row>
    <row r="13" spans="1:12">
      <c r="A13" s="276" t="s">
        <v>600</v>
      </c>
      <c r="B13" s="274">
        <v>14700000</v>
      </c>
      <c r="C13" s="272" t="s">
        <v>288</v>
      </c>
      <c r="D13" s="274">
        <v>22046978</v>
      </c>
      <c r="E13" s="272" t="s">
        <v>288</v>
      </c>
      <c r="F13" s="274">
        <v>73938838</v>
      </c>
      <c r="G13" s="146" t="s">
        <v>288</v>
      </c>
      <c r="H13" s="147">
        <f>D25</f>
        <v>69612632.320987657</v>
      </c>
      <c r="I13" s="146" t="s">
        <v>288</v>
      </c>
      <c r="J13" s="173">
        <f>H13-F13</f>
        <v>-4326205.6790123433</v>
      </c>
      <c r="K13" s="177">
        <f>H13/F13</f>
        <v>0.94148940129391345</v>
      </c>
    </row>
    <row r="14" spans="1:12">
      <c r="A14" s="276" t="s">
        <v>601</v>
      </c>
      <c r="B14" s="274">
        <v>11500000</v>
      </c>
      <c r="C14" s="272" t="s">
        <v>289</v>
      </c>
      <c r="D14" s="274">
        <v>2454695</v>
      </c>
      <c r="E14" s="272" t="s">
        <v>289</v>
      </c>
      <c r="F14" s="274">
        <v>6395013</v>
      </c>
      <c r="G14" s="144" t="s">
        <v>289</v>
      </c>
      <c r="H14" s="148">
        <f>D26</f>
        <v>6740003.6419753088</v>
      </c>
      <c r="I14" s="144" t="s">
        <v>289</v>
      </c>
      <c r="J14" s="172">
        <f>H14-F14</f>
        <v>344990.64197530877</v>
      </c>
      <c r="K14" s="178">
        <f>H14/F14</f>
        <v>1.0539468241855503</v>
      </c>
    </row>
    <row r="15" spans="1:12">
      <c r="A15" s="276" t="s">
        <v>602</v>
      </c>
      <c r="B15" s="274">
        <v>8750000</v>
      </c>
      <c r="C15" s="272"/>
      <c r="D15" s="273"/>
      <c r="E15" s="272"/>
      <c r="F15" s="273"/>
      <c r="G15" s="146"/>
      <c r="H15" s="149"/>
      <c r="I15" s="146"/>
      <c r="J15" s="171"/>
      <c r="K15" s="149"/>
    </row>
    <row r="16" spans="1:12" ht="15.75" thickBot="1">
      <c r="A16" s="276" t="s">
        <v>603</v>
      </c>
      <c r="B16" s="274">
        <v>5400000</v>
      </c>
      <c r="C16" s="272" t="s">
        <v>290</v>
      </c>
      <c r="D16" s="275">
        <v>23255096</v>
      </c>
      <c r="E16" s="272" t="s">
        <v>290</v>
      </c>
      <c r="F16" s="277">
        <v>-12757988</v>
      </c>
      <c r="G16" s="153" t="s">
        <v>290</v>
      </c>
      <c r="H16" s="154">
        <f>SUM(H6:H11)-SUM(H13:H14)</f>
        <v>39116232.764633223</v>
      </c>
      <c r="I16" s="153" t="s">
        <v>290</v>
      </c>
      <c r="J16" s="176">
        <f>H16-F16</f>
        <v>51874220.764633223</v>
      </c>
      <c r="K16" s="180">
        <f>H16/F16</f>
        <v>-3.0660189337561081</v>
      </c>
    </row>
    <row r="17" spans="1:11" ht="15.75" thickBot="1">
      <c r="A17" s="185"/>
      <c r="B17" s="160">
        <v>162</v>
      </c>
      <c r="C17" s="164" t="s">
        <v>312</v>
      </c>
      <c r="D17" s="188">
        <f>D6/D3</f>
        <v>25</v>
      </c>
      <c r="E17" s="164" t="s">
        <v>312</v>
      </c>
      <c r="F17" s="188">
        <f>F6/F3</f>
        <v>22</v>
      </c>
      <c r="G17" s="187" t="s">
        <v>312</v>
      </c>
      <c r="H17" s="188">
        <v>21</v>
      </c>
      <c r="I17" s="146" t="str">
        <f>C17</f>
        <v>Avg Ticket Income</v>
      </c>
      <c r="J17" s="199">
        <f>D17-F17</f>
        <v>3</v>
      </c>
      <c r="K17" s="177">
        <f>D17/F17</f>
        <v>1.1363636363636365</v>
      </c>
    </row>
    <row r="18" spans="1:11">
      <c r="A18" s="163" t="s">
        <v>292</v>
      </c>
      <c r="B18" s="195">
        <v>37</v>
      </c>
      <c r="C18" s="144" t="s">
        <v>318</v>
      </c>
      <c r="D18" s="189">
        <f>B17/2-B21-B22</f>
        <v>50</v>
      </c>
      <c r="E18" s="144"/>
      <c r="F18" s="189"/>
      <c r="G18" s="158" t="s">
        <v>318</v>
      </c>
      <c r="H18" s="189">
        <v>81</v>
      </c>
      <c r="I18" s="144"/>
      <c r="J18" s="172"/>
      <c r="K18" s="178"/>
    </row>
    <row r="19" spans="1:11" ht="15.75" thickBot="1">
      <c r="A19" s="163" t="s">
        <v>293</v>
      </c>
      <c r="B19" s="196">
        <v>22</v>
      </c>
      <c r="C19" s="146" t="s">
        <v>313</v>
      </c>
      <c r="D19" s="190">
        <f>D3+D4*D18</f>
        <v>3002763</v>
      </c>
      <c r="E19" s="146" t="s">
        <v>313</v>
      </c>
      <c r="F19" s="190">
        <f>F3+F4*F18</f>
        <v>2312759</v>
      </c>
      <c r="G19" s="157" t="s">
        <v>313</v>
      </c>
      <c r="H19" s="190">
        <v>2300000</v>
      </c>
      <c r="I19" s="146" t="str">
        <f>C19</f>
        <v>Est. Attendance</v>
      </c>
      <c r="J19" s="198">
        <f>D19-F19</f>
        <v>690004</v>
      </c>
      <c r="K19" s="177">
        <f>D19/F19</f>
        <v>1.2983466932784609</v>
      </c>
    </row>
    <row r="20" spans="1:11" ht="15.75" thickBot="1">
      <c r="A20" s="163" t="s">
        <v>294</v>
      </c>
      <c r="B20" s="162">
        <f>B18/(B18+B19)</f>
        <v>0.6271186440677966</v>
      </c>
      <c r="C20" s="144" t="s">
        <v>314</v>
      </c>
      <c r="D20" s="191">
        <f>D6+D4*D17*D18</f>
        <v>75069075</v>
      </c>
      <c r="E20" s="144" t="s">
        <v>314</v>
      </c>
      <c r="F20" s="191">
        <f>F6+F4*F17*F18</f>
        <v>50880698</v>
      </c>
      <c r="G20" s="158" t="s">
        <v>314</v>
      </c>
      <c r="H20" s="191">
        <v>50000000</v>
      </c>
      <c r="I20" s="144" t="str">
        <f t="shared" ref="I20:I28" si="4">C20</f>
        <v>Proj. Gate Rev</v>
      </c>
      <c r="J20" s="172">
        <f t="shared" ref="J20:J28" si="5">D20-F20</f>
        <v>24188377</v>
      </c>
      <c r="K20" s="178">
        <f t="shared" ref="K20:K28" si="6">D20/F20</f>
        <v>1.4753939696346148</v>
      </c>
    </row>
    <row r="21" spans="1:11">
      <c r="A21" s="163" t="s">
        <v>295</v>
      </c>
      <c r="B21" s="195">
        <v>21</v>
      </c>
      <c r="C21" s="146" t="s">
        <v>315</v>
      </c>
      <c r="D21" s="192">
        <f>D9/D3</f>
        <v>2.7640741968634188</v>
      </c>
      <c r="E21" s="146" t="s">
        <v>315</v>
      </c>
      <c r="F21" s="192">
        <f>F9/F3</f>
        <v>2.9317585619599793</v>
      </c>
      <c r="G21" s="157" t="s">
        <v>315</v>
      </c>
      <c r="H21" s="192">
        <v>3</v>
      </c>
      <c r="I21" s="146" t="str">
        <f t="shared" si="4"/>
        <v>Merch Per Att.</v>
      </c>
      <c r="J21" s="199">
        <f t="shared" si="5"/>
        <v>-0.16768436509656048</v>
      </c>
      <c r="K21" s="177">
        <f t="shared" si="6"/>
        <v>0.94280416973201986</v>
      </c>
    </row>
    <row r="22" spans="1:11" ht="15.75" thickBot="1">
      <c r="A22" s="163" t="s">
        <v>296</v>
      </c>
      <c r="B22" s="196">
        <v>10</v>
      </c>
      <c r="C22" s="144" t="s">
        <v>316</v>
      </c>
      <c r="D22" s="191">
        <f>D19*D21</f>
        <v>8299859.7275961898</v>
      </c>
      <c r="E22" s="144" t="s">
        <v>316</v>
      </c>
      <c r="F22" s="191">
        <f>F19*F21</f>
        <v>6780451</v>
      </c>
      <c r="G22" s="158" t="s">
        <v>316</v>
      </c>
      <c r="H22" s="191">
        <v>25868622.177973688</v>
      </c>
      <c r="I22" s="144" t="str">
        <f t="shared" si="4"/>
        <v>Proj. Merch</v>
      </c>
      <c r="J22" s="172">
        <f t="shared" si="5"/>
        <v>1519408.7275961898</v>
      </c>
      <c r="K22" s="178">
        <f t="shared" si="6"/>
        <v>1.2240866761807128</v>
      </c>
    </row>
    <row r="23" spans="1:11">
      <c r="A23" s="163" t="s">
        <v>297</v>
      </c>
      <c r="B23" s="162">
        <f>B21/(B21+B22)</f>
        <v>0.67741935483870963</v>
      </c>
      <c r="C23" s="146" t="s">
        <v>317</v>
      </c>
      <c r="D23" s="191">
        <f>D8+D20+D22</f>
        <v>116868934.72759619</v>
      </c>
      <c r="E23" s="146" t="s">
        <v>317</v>
      </c>
      <c r="F23" s="191">
        <f>F8+F20+F22</f>
        <v>92161149</v>
      </c>
      <c r="G23" s="157" t="s">
        <v>317</v>
      </c>
      <c r="H23" s="191">
        <v>101606896.17797369</v>
      </c>
      <c r="I23" s="146" t="str">
        <f t="shared" si="4"/>
        <v>Proj. Rev.</v>
      </c>
      <c r="J23" s="173">
        <f t="shared" si="5"/>
        <v>24707785.727596194</v>
      </c>
      <c r="K23" s="177">
        <f t="shared" si="6"/>
        <v>1.2680932908898108</v>
      </c>
    </row>
    <row r="24" spans="1:11">
      <c r="A24" s="163" t="s">
        <v>298</v>
      </c>
      <c r="B24" s="161">
        <f>B18-B21</f>
        <v>16</v>
      </c>
      <c r="C24" s="193" t="s">
        <v>319</v>
      </c>
      <c r="D24" s="191">
        <f>D23-F9-F8-F6-F7</f>
        <v>24707785.727596194</v>
      </c>
      <c r="E24" s="193"/>
      <c r="F24" s="191"/>
      <c r="G24" s="159" t="s">
        <v>319</v>
      </c>
      <c r="H24" s="191">
        <v>177950.17797368765</v>
      </c>
      <c r="I24" s="144" t="str">
        <f t="shared" si="4"/>
        <v>+/- Improvement</v>
      </c>
      <c r="J24" s="172">
        <f t="shared" si="5"/>
        <v>24707785.727596194</v>
      </c>
      <c r="K24" s="178" t="e">
        <f t="shared" si="6"/>
        <v>#DIV/0!</v>
      </c>
    </row>
    <row r="25" spans="1:11">
      <c r="A25" s="163" t="s">
        <v>299</v>
      </c>
      <c r="B25" s="161">
        <f>B19-B22</f>
        <v>12</v>
      </c>
      <c r="C25" s="146" t="s">
        <v>334</v>
      </c>
      <c r="D25" s="191">
        <f>$B$5/$B$17*B27+D13</f>
        <v>69612632.320987657</v>
      </c>
      <c r="E25" s="146" t="s">
        <v>334</v>
      </c>
      <c r="F25" s="191">
        <f>F13</f>
        <v>73938838</v>
      </c>
      <c r="G25" s="157" t="s">
        <v>334</v>
      </c>
      <c r="H25" s="191">
        <v>106396953.25925925</v>
      </c>
      <c r="I25" s="146" t="str">
        <f t="shared" si="4"/>
        <v>Est. Player Exp</v>
      </c>
      <c r="J25" s="173">
        <f t="shared" si="5"/>
        <v>-4326205.6790123433</v>
      </c>
      <c r="K25" s="177">
        <f t="shared" si="6"/>
        <v>0.94148940129391345</v>
      </c>
    </row>
    <row r="26" spans="1:11">
      <c r="A26" s="163" t="s">
        <v>300</v>
      </c>
      <c r="B26" s="162">
        <f>B24/(B24+B25)</f>
        <v>0.5714285714285714</v>
      </c>
      <c r="C26" s="144" t="s">
        <v>335</v>
      </c>
      <c r="D26" s="191">
        <f>B4/B17*B27+D14</f>
        <v>6740003.6419753088</v>
      </c>
      <c r="E26" s="144" t="s">
        <v>335</v>
      </c>
      <c r="F26" s="191">
        <f>F14</f>
        <v>6395013</v>
      </c>
      <c r="G26" s="158" t="s">
        <v>335</v>
      </c>
      <c r="H26" s="191">
        <v>6429973.1481481474</v>
      </c>
      <c r="I26" s="144" t="str">
        <f t="shared" si="4"/>
        <v>Est. Staff Exp</v>
      </c>
      <c r="J26" s="172">
        <f t="shared" si="5"/>
        <v>344990.64197530877</v>
      </c>
      <c r="K26" s="178">
        <f t="shared" si="6"/>
        <v>1.0539468241855503</v>
      </c>
    </row>
    <row r="27" spans="1:11">
      <c r="A27" s="163" t="s">
        <v>301</v>
      </c>
      <c r="B27" s="161">
        <f>B17-B18-B19</f>
        <v>103</v>
      </c>
      <c r="C27" s="146" t="s">
        <v>336</v>
      </c>
      <c r="D27" s="191">
        <f>D23</f>
        <v>116868934.72759619</v>
      </c>
      <c r="E27" s="146" t="s">
        <v>336</v>
      </c>
      <c r="F27" s="191">
        <f>F23</f>
        <v>92161149</v>
      </c>
      <c r="G27" s="157" t="s">
        <v>336</v>
      </c>
      <c r="H27" s="191">
        <v>101606896.17797369</v>
      </c>
      <c r="I27" s="146" t="str">
        <f t="shared" si="4"/>
        <v>Est. Income</v>
      </c>
      <c r="J27" s="173">
        <f t="shared" si="5"/>
        <v>24707785.727596194</v>
      </c>
      <c r="K27" s="177">
        <f t="shared" si="6"/>
        <v>1.2680932908898108</v>
      </c>
    </row>
    <row r="28" spans="1:11">
      <c r="A28" s="163" t="s">
        <v>302</v>
      </c>
      <c r="B28" s="161">
        <f>B17/2-B21-B22</f>
        <v>50</v>
      </c>
      <c r="C28" s="144" t="s">
        <v>337</v>
      </c>
      <c r="D28" s="191">
        <f>D25+D26</f>
        <v>76352635.96296297</v>
      </c>
      <c r="E28" s="144" t="s">
        <v>337</v>
      </c>
      <c r="F28" s="191">
        <f>F25+F26</f>
        <v>80333851</v>
      </c>
      <c r="G28" s="158" t="s">
        <v>337</v>
      </c>
      <c r="H28" s="191">
        <v>112826926.4074074</v>
      </c>
      <c r="I28" s="144" t="str">
        <f t="shared" si="4"/>
        <v>Est. Loss</v>
      </c>
      <c r="J28" s="172">
        <f t="shared" si="5"/>
        <v>-3981215.0370370299</v>
      </c>
      <c r="K28" s="178">
        <f t="shared" si="6"/>
        <v>0.95044162594623993</v>
      </c>
    </row>
    <row r="29" spans="1:11">
      <c r="A29" s="163" t="s">
        <v>303</v>
      </c>
      <c r="B29" s="161">
        <f>B27-B28</f>
        <v>53</v>
      </c>
      <c r="C29" s="146" t="s">
        <v>355</v>
      </c>
      <c r="D29" s="191">
        <f>B6-D28</f>
        <v>9697364.0370370299</v>
      </c>
      <c r="E29" s="146" t="s">
        <v>355</v>
      </c>
      <c r="F29" s="191">
        <f>B6-F28</f>
        <v>5716149</v>
      </c>
      <c r="G29" s="157"/>
      <c r="H29" s="191">
        <v>-21166926.407407403</v>
      </c>
      <c r="I29" s="146" t="str">
        <f t="shared" ref="I29:I31" si="7">C29</f>
        <v>Est. Budget Diff</v>
      </c>
      <c r="J29" s="173">
        <f t="shared" ref="J29:J30" si="8">D29-F29</f>
        <v>3981215.0370370299</v>
      </c>
      <c r="K29" s="177">
        <f t="shared" ref="K29:K30" si="9">D29/F29</f>
        <v>1.6964855249639277</v>
      </c>
    </row>
    <row r="30" spans="1:11" ht="15.75" thickBot="1">
      <c r="A30" s="186" t="s">
        <v>394</v>
      </c>
      <c r="B30" s="219">
        <f>SUM(B21:B22)/SUM(B21:B22,B28)</f>
        <v>0.38271604938271603</v>
      </c>
      <c r="C30" s="153" t="s">
        <v>338</v>
      </c>
      <c r="D30" s="194">
        <f>D27-D28</f>
        <v>40516298.764633223</v>
      </c>
      <c r="E30" s="153" t="s">
        <v>338</v>
      </c>
      <c r="F30" s="194">
        <f>F27-F28</f>
        <v>11827298</v>
      </c>
      <c r="G30" s="197" t="s">
        <v>338</v>
      </c>
      <c r="H30" s="194">
        <v>-11220030.229433715</v>
      </c>
      <c r="I30" s="153" t="str">
        <f t="shared" si="7"/>
        <v>Est. Profit</v>
      </c>
      <c r="J30" s="200">
        <f t="shared" si="8"/>
        <v>28689000.764633223</v>
      </c>
      <c r="K30" s="201">
        <f t="shared" si="9"/>
        <v>3.4256597546314658</v>
      </c>
    </row>
    <row r="31" spans="1:11">
      <c r="C31" s="146" t="s">
        <v>415</v>
      </c>
      <c r="D31" s="191">
        <f>D11+D30</f>
        <v>39116232.764633223</v>
      </c>
      <c r="F31" s="166"/>
      <c r="G31" s="158" t="s">
        <v>340</v>
      </c>
      <c r="H31" s="166">
        <v>43049</v>
      </c>
      <c r="I31" s="146" t="str">
        <f t="shared" si="7"/>
        <v>Cash Remaining</v>
      </c>
    </row>
    <row r="32" spans="1:11">
      <c r="A32" s="1" t="s">
        <v>339</v>
      </c>
      <c r="B32" s="1" t="s">
        <v>341</v>
      </c>
      <c r="C32" s="1" t="s">
        <v>342</v>
      </c>
      <c r="D32" s="1" t="s">
        <v>354</v>
      </c>
    </row>
    <row r="33" spans="1:4">
      <c r="A33" s="111">
        <v>59</v>
      </c>
      <c r="B33" s="165">
        <f t="shared" ref="B33:B58" si="10">(A33-$B$18)/$B$27</f>
        <v>0.21359223300970873</v>
      </c>
      <c r="C33" s="165">
        <f t="shared" ref="C33:C58" si="11">A33/$B$17</f>
        <v>0.36419753086419754</v>
      </c>
      <c r="D33" s="122" t="str">
        <f>IF(OR(A33&lt;$B$18,$B$18+$B$27&lt;A33),"-",(A33-$B$18)&amp;"-"&amp;($B$17-A33-$B$19))</f>
        <v>22-81</v>
      </c>
    </row>
    <row r="34" spans="1:4">
      <c r="A34" s="111">
        <v>60</v>
      </c>
      <c r="B34" s="165">
        <f t="shared" si="10"/>
        <v>0.22330097087378642</v>
      </c>
      <c r="C34" s="165">
        <f t="shared" si="11"/>
        <v>0.37037037037037035</v>
      </c>
      <c r="D34" s="122" t="str">
        <f t="shared" ref="D34:D97" si="12">IF(OR(A34&lt;$B$18,$B$18+$B$27&lt;A34),"-",(A34-$B$18)&amp;"-"&amp;($B$17-A34-$B$19))</f>
        <v>23-80</v>
      </c>
    </row>
    <row r="35" spans="1:4">
      <c r="A35" s="111">
        <v>61</v>
      </c>
      <c r="B35" s="165">
        <f t="shared" si="10"/>
        <v>0.23300970873786409</v>
      </c>
      <c r="C35" s="165">
        <f t="shared" si="11"/>
        <v>0.37654320987654322</v>
      </c>
      <c r="D35" s="122" t="str">
        <f t="shared" si="12"/>
        <v>24-79</v>
      </c>
    </row>
    <row r="36" spans="1:4">
      <c r="A36" s="111">
        <v>62</v>
      </c>
      <c r="B36" s="165">
        <f t="shared" si="10"/>
        <v>0.24271844660194175</v>
      </c>
      <c r="C36" s="165">
        <f t="shared" si="11"/>
        <v>0.38271604938271603</v>
      </c>
      <c r="D36" s="122" t="str">
        <f t="shared" si="12"/>
        <v>25-78</v>
      </c>
    </row>
    <row r="37" spans="1:4">
      <c r="A37" s="111">
        <v>63</v>
      </c>
      <c r="B37" s="165">
        <f t="shared" si="10"/>
        <v>0.25242718446601942</v>
      </c>
      <c r="C37" s="165">
        <f t="shared" si="11"/>
        <v>0.3888888888888889</v>
      </c>
      <c r="D37" s="122" t="str">
        <f t="shared" si="12"/>
        <v>26-77</v>
      </c>
    </row>
    <row r="38" spans="1:4">
      <c r="A38" s="111">
        <v>64</v>
      </c>
      <c r="B38" s="165">
        <f t="shared" si="10"/>
        <v>0.26213592233009708</v>
      </c>
      <c r="C38" s="165">
        <f t="shared" si="11"/>
        <v>0.39506172839506171</v>
      </c>
      <c r="D38" s="122" t="str">
        <f t="shared" si="12"/>
        <v>27-76</v>
      </c>
    </row>
    <row r="39" spans="1:4">
      <c r="A39" s="111">
        <v>65</v>
      </c>
      <c r="B39" s="165">
        <f t="shared" si="10"/>
        <v>0.27184466019417475</v>
      </c>
      <c r="C39" s="165">
        <f t="shared" si="11"/>
        <v>0.40123456790123457</v>
      </c>
      <c r="D39" s="122" t="str">
        <f t="shared" si="12"/>
        <v>28-75</v>
      </c>
    </row>
    <row r="40" spans="1:4">
      <c r="A40" s="111">
        <v>66</v>
      </c>
      <c r="B40" s="165">
        <f t="shared" si="10"/>
        <v>0.28155339805825241</v>
      </c>
      <c r="C40" s="165">
        <f t="shared" si="11"/>
        <v>0.40740740740740738</v>
      </c>
      <c r="D40" s="122" t="str">
        <f t="shared" si="12"/>
        <v>29-74</v>
      </c>
    </row>
    <row r="41" spans="1:4">
      <c r="A41" s="111">
        <v>67</v>
      </c>
      <c r="B41" s="165">
        <f t="shared" si="10"/>
        <v>0.29126213592233008</v>
      </c>
      <c r="C41" s="165">
        <f t="shared" si="11"/>
        <v>0.41358024691358025</v>
      </c>
      <c r="D41" s="122" t="str">
        <f t="shared" si="12"/>
        <v>30-73</v>
      </c>
    </row>
    <row r="42" spans="1:4">
      <c r="A42" s="111">
        <v>68</v>
      </c>
      <c r="B42" s="165">
        <f t="shared" si="10"/>
        <v>0.30097087378640774</v>
      </c>
      <c r="C42" s="165">
        <f t="shared" si="11"/>
        <v>0.41975308641975306</v>
      </c>
      <c r="D42" s="122" t="str">
        <f t="shared" si="12"/>
        <v>31-72</v>
      </c>
    </row>
    <row r="43" spans="1:4">
      <c r="A43" s="111">
        <v>69</v>
      </c>
      <c r="B43" s="165">
        <f t="shared" si="10"/>
        <v>0.31067961165048541</v>
      </c>
      <c r="C43" s="165">
        <f t="shared" si="11"/>
        <v>0.42592592592592593</v>
      </c>
      <c r="D43" s="122" t="str">
        <f t="shared" si="12"/>
        <v>32-71</v>
      </c>
    </row>
    <row r="44" spans="1:4">
      <c r="A44" s="111">
        <v>70</v>
      </c>
      <c r="B44" s="165">
        <f t="shared" si="10"/>
        <v>0.32038834951456313</v>
      </c>
      <c r="C44" s="165">
        <f t="shared" si="11"/>
        <v>0.43209876543209874</v>
      </c>
      <c r="D44" s="122" t="str">
        <f t="shared" si="12"/>
        <v>33-70</v>
      </c>
    </row>
    <row r="45" spans="1:4">
      <c r="A45" s="111">
        <v>71</v>
      </c>
      <c r="B45" s="165">
        <f t="shared" si="10"/>
        <v>0.3300970873786408</v>
      </c>
      <c r="C45" s="165">
        <f t="shared" si="11"/>
        <v>0.43827160493827161</v>
      </c>
      <c r="D45" s="122" t="str">
        <f t="shared" si="12"/>
        <v>34-69</v>
      </c>
    </row>
    <row r="46" spans="1:4">
      <c r="A46" s="111">
        <v>72</v>
      </c>
      <c r="B46" s="165">
        <f t="shared" si="10"/>
        <v>0.33980582524271846</v>
      </c>
      <c r="C46" s="165">
        <f t="shared" si="11"/>
        <v>0.44444444444444442</v>
      </c>
      <c r="D46" s="122" t="str">
        <f t="shared" si="12"/>
        <v>35-68</v>
      </c>
    </row>
    <row r="47" spans="1:4">
      <c r="A47" s="111">
        <v>73</v>
      </c>
      <c r="B47" s="165">
        <f t="shared" si="10"/>
        <v>0.34951456310679613</v>
      </c>
      <c r="C47" s="165">
        <f t="shared" si="11"/>
        <v>0.45061728395061729</v>
      </c>
      <c r="D47" s="122" t="str">
        <f t="shared" si="12"/>
        <v>36-67</v>
      </c>
    </row>
    <row r="48" spans="1:4">
      <c r="A48" s="111">
        <v>74</v>
      </c>
      <c r="B48" s="165">
        <f t="shared" si="10"/>
        <v>0.35922330097087379</v>
      </c>
      <c r="C48" s="165">
        <f t="shared" si="11"/>
        <v>0.4567901234567901</v>
      </c>
      <c r="D48" s="122" t="str">
        <f t="shared" si="12"/>
        <v>37-66</v>
      </c>
    </row>
    <row r="49" spans="1:4">
      <c r="A49" s="111">
        <v>75</v>
      </c>
      <c r="B49" s="165">
        <f t="shared" si="10"/>
        <v>0.36893203883495146</v>
      </c>
      <c r="C49" s="165">
        <f t="shared" si="11"/>
        <v>0.46296296296296297</v>
      </c>
      <c r="D49" s="122" t="str">
        <f t="shared" si="12"/>
        <v>38-65</v>
      </c>
    </row>
    <row r="50" spans="1:4">
      <c r="A50" s="111">
        <v>76</v>
      </c>
      <c r="B50" s="165">
        <f t="shared" si="10"/>
        <v>0.37864077669902912</v>
      </c>
      <c r="C50" s="165">
        <f t="shared" si="11"/>
        <v>0.46913580246913578</v>
      </c>
      <c r="D50" s="122" t="str">
        <f t="shared" si="12"/>
        <v>39-64</v>
      </c>
    </row>
    <row r="51" spans="1:4">
      <c r="A51" s="111">
        <v>77</v>
      </c>
      <c r="B51" s="165">
        <f t="shared" si="10"/>
        <v>0.38834951456310679</v>
      </c>
      <c r="C51" s="165">
        <f t="shared" si="11"/>
        <v>0.47530864197530864</v>
      </c>
      <c r="D51" s="122" t="str">
        <f t="shared" si="12"/>
        <v>40-63</v>
      </c>
    </row>
    <row r="52" spans="1:4">
      <c r="A52" s="111">
        <v>78</v>
      </c>
      <c r="B52" s="165">
        <f t="shared" si="10"/>
        <v>0.39805825242718446</v>
      </c>
      <c r="C52" s="165">
        <f t="shared" si="11"/>
        <v>0.48148148148148145</v>
      </c>
      <c r="D52" s="122" t="str">
        <f t="shared" si="12"/>
        <v>41-62</v>
      </c>
    </row>
    <row r="53" spans="1:4">
      <c r="A53" s="111">
        <v>79</v>
      </c>
      <c r="B53" s="165">
        <f t="shared" si="10"/>
        <v>0.40776699029126212</v>
      </c>
      <c r="C53" s="165">
        <f t="shared" si="11"/>
        <v>0.48765432098765432</v>
      </c>
      <c r="D53" s="122" t="str">
        <f t="shared" si="12"/>
        <v>42-61</v>
      </c>
    </row>
    <row r="54" spans="1:4">
      <c r="A54" s="111">
        <v>80</v>
      </c>
      <c r="B54" s="165">
        <f t="shared" si="10"/>
        <v>0.41747572815533979</v>
      </c>
      <c r="C54" s="165">
        <f t="shared" si="11"/>
        <v>0.49382716049382713</v>
      </c>
      <c r="D54" s="122" t="str">
        <f t="shared" si="12"/>
        <v>43-60</v>
      </c>
    </row>
    <row r="55" spans="1:4">
      <c r="A55" s="111">
        <v>81</v>
      </c>
      <c r="B55" s="165">
        <f t="shared" si="10"/>
        <v>0.42718446601941745</v>
      </c>
      <c r="C55" s="165">
        <f t="shared" si="11"/>
        <v>0.5</v>
      </c>
      <c r="D55" s="122" t="str">
        <f t="shared" si="12"/>
        <v>44-59</v>
      </c>
    </row>
    <row r="56" spans="1:4">
      <c r="A56" s="111">
        <v>82</v>
      </c>
      <c r="B56" s="165">
        <f t="shared" si="10"/>
        <v>0.43689320388349512</v>
      </c>
      <c r="C56" s="165">
        <f t="shared" si="11"/>
        <v>0.50617283950617287</v>
      </c>
      <c r="D56" s="122" t="str">
        <f t="shared" si="12"/>
        <v>45-58</v>
      </c>
    </row>
    <row r="57" spans="1:4">
      <c r="A57" s="111">
        <v>83</v>
      </c>
      <c r="B57" s="165">
        <f t="shared" si="10"/>
        <v>0.44660194174757284</v>
      </c>
      <c r="C57" s="165">
        <f t="shared" si="11"/>
        <v>0.51234567901234573</v>
      </c>
      <c r="D57" s="122" t="str">
        <f t="shared" si="12"/>
        <v>46-57</v>
      </c>
    </row>
    <row r="58" spans="1:4">
      <c r="A58" s="111">
        <v>84</v>
      </c>
      <c r="B58" s="165">
        <f t="shared" si="10"/>
        <v>0.4563106796116505</v>
      </c>
      <c r="C58" s="165">
        <f t="shared" si="11"/>
        <v>0.51851851851851849</v>
      </c>
      <c r="D58" s="122" t="str">
        <f t="shared" si="12"/>
        <v>47-56</v>
      </c>
    </row>
    <row r="59" spans="1:4">
      <c r="A59" s="111">
        <v>85</v>
      </c>
      <c r="B59" s="165">
        <f t="shared" ref="B59:B67" si="13">(A59-$B$18)/$B$27</f>
        <v>0.46601941747572817</v>
      </c>
      <c r="C59" s="165">
        <f>A59/$B$17</f>
        <v>0.52469135802469136</v>
      </c>
      <c r="D59" s="122" t="str">
        <f t="shared" si="12"/>
        <v>48-55</v>
      </c>
    </row>
    <row r="60" spans="1:4">
      <c r="A60" s="111">
        <v>86</v>
      </c>
      <c r="B60" s="165">
        <f t="shared" si="13"/>
        <v>0.47572815533980584</v>
      </c>
      <c r="C60" s="165">
        <f t="shared" ref="C60:C67" si="14">A60/$B$17</f>
        <v>0.53086419753086422</v>
      </c>
      <c r="D60" s="122" t="str">
        <f t="shared" si="12"/>
        <v>49-54</v>
      </c>
    </row>
    <row r="61" spans="1:4">
      <c r="A61" s="111">
        <v>87</v>
      </c>
      <c r="B61" s="165">
        <f t="shared" si="13"/>
        <v>0.4854368932038835</v>
      </c>
      <c r="C61" s="165">
        <f t="shared" si="14"/>
        <v>0.53703703703703709</v>
      </c>
      <c r="D61" s="122" t="str">
        <f t="shared" si="12"/>
        <v>50-53</v>
      </c>
    </row>
    <row r="62" spans="1:4">
      <c r="A62" s="111">
        <v>88</v>
      </c>
      <c r="B62" s="165">
        <f t="shared" si="13"/>
        <v>0.49514563106796117</v>
      </c>
      <c r="C62" s="165">
        <f t="shared" si="14"/>
        <v>0.54320987654320985</v>
      </c>
      <c r="D62" s="122" t="str">
        <f t="shared" si="12"/>
        <v>51-52</v>
      </c>
    </row>
    <row r="63" spans="1:4">
      <c r="A63" s="111">
        <v>89</v>
      </c>
      <c r="B63" s="165">
        <f t="shared" si="13"/>
        <v>0.50485436893203883</v>
      </c>
      <c r="C63" s="165">
        <f t="shared" si="14"/>
        <v>0.54938271604938271</v>
      </c>
      <c r="D63" s="122" t="str">
        <f t="shared" si="12"/>
        <v>52-51</v>
      </c>
    </row>
    <row r="64" spans="1:4">
      <c r="A64" s="111">
        <v>90</v>
      </c>
      <c r="B64" s="165">
        <f t="shared" si="13"/>
        <v>0.5145631067961165</v>
      </c>
      <c r="C64" s="165">
        <f t="shared" si="14"/>
        <v>0.55555555555555558</v>
      </c>
      <c r="D64" s="122" t="str">
        <f t="shared" si="12"/>
        <v>53-50</v>
      </c>
    </row>
    <row r="65" spans="1:4">
      <c r="A65" s="111">
        <v>91</v>
      </c>
      <c r="B65" s="165">
        <f t="shared" si="13"/>
        <v>0.52427184466019416</v>
      </c>
      <c r="C65" s="165">
        <f t="shared" si="14"/>
        <v>0.56172839506172845</v>
      </c>
      <c r="D65" s="122" t="str">
        <f t="shared" si="12"/>
        <v>54-49</v>
      </c>
    </row>
    <row r="66" spans="1:4">
      <c r="A66" s="111">
        <v>92</v>
      </c>
      <c r="B66" s="165">
        <f t="shared" si="13"/>
        <v>0.53398058252427183</v>
      </c>
      <c r="C66" s="165">
        <f t="shared" si="14"/>
        <v>0.5679012345679012</v>
      </c>
      <c r="D66" s="122" t="str">
        <f t="shared" si="12"/>
        <v>55-48</v>
      </c>
    </row>
    <row r="67" spans="1:4">
      <c r="A67" s="111">
        <v>93</v>
      </c>
      <c r="B67" s="165">
        <f t="shared" si="13"/>
        <v>0.5436893203883495</v>
      </c>
      <c r="C67" s="165">
        <f t="shared" si="14"/>
        <v>0.57407407407407407</v>
      </c>
      <c r="D67" s="122" t="str">
        <f t="shared" si="12"/>
        <v>56-47</v>
      </c>
    </row>
    <row r="68" spans="1:4">
      <c r="A68" s="111">
        <v>94</v>
      </c>
      <c r="B68" s="165">
        <f t="shared" ref="B68:B84" si="15">(A68-$B$18)/$B$27</f>
        <v>0.55339805825242716</v>
      </c>
      <c r="C68" s="165">
        <f t="shared" ref="C68:C84" si="16">A68/$B$17</f>
        <v>0.58024691358024694</v>
      </c>
      <c r="D68" s="122" t="str">
        <f t="shared" si="12"/>
        <v>57-46</v>
      </c>
    </row>
    <row r="69" spans="1:4">
      <c r="A69" s="111">
        <v>95</v>
      </c>
      <c r="B69" s="165">
        <f t="shared" si="15"/>
        <v>0.56310679611650483</v>
      </c>
      <c r="C69" s="165">
        <f t="shared" si="16"/>
        <v>0.5864197530864198</v>
      </c>
      <c r="D69" s="122" t="str">
        <f t="shared" si="12"/>
        <v>58-45</v>
      </c>
    </row>
    <row r="70" spans="1:4">
      <c r="A70" s="111">
        <v>96</v>
      </c>
      <c r="B70" s="165">
        <f t="shared" si="15"/>
        <v>0.57281553398058249</v>
      </c>
      <c r="C70" s="165">
        <f t="shared" si="16"/>
        <v>0.59259259259259256</v>
      </c>
      <c r="D70" s="122" t="str">
        <f t="shared" si="12"/>
        <v>59-44</v>
      </c>
    </row>
    <row r="71" spans="1:4">
      <c r="A71" s="111">
        <v>97</v>
      </c>
      <c r="B71" s="165">
        <f t="shared" si="15"/>
        <v>0.58252427184466016</v>
      </c>
      <c r="C71" s="165">
        <f t="shared" si="16"/>
        <v>0.59876543209876543</v>
      </c>
      <c r="D71" s="122" t="str">
        <f t="shared" si="12"/>
        <v>60-43</v>
      </c>
    </row>
    <row r="72" spans="1:4">
      <c r="A72" s="111">
        <v>98</v>
      </c>
      <c r="B72" s="165">
        <f t="shared" si="15"/>
        <v>0.59223300970873782</v>
      </c>
      <c r="C72" s="165">
        <f t="shared" si="16"/>
        <v>0.60493827160493829</v>
      </c>
      <c r="D72" s="122" t="str">
        <f t="shared" si="12"/>
        <v>61-42</v>
      </c>
    </row>
    <row r="73" spans="1:4">
      <c r="A73" s="111">
        <v>99</v>
      </c>
      <c r="B73" s="165">
        <f t="shared" si="15"/>
        <v>0.60194174757281549</v>
      </c>
      <c r="C73" s="165">
        <f t="shared" si="16"/>
        <v>0.61111111111111116</v>
      </c>
      <c r="D73" s="122" t="str">
        <f t="shared" si="12"/>
        <v>62-41</v>
      </c>
    </row>
    <row r="74" spans="1:4">
      <c r="A74" s="111">
        <v>100</v>
      </c>
      <c r="B74" s="165">
        <f t="shared" si="15"/>
        <v>0.61165048543689315</v>
      </c>
      <c r="C74" s="165">
        <f t="shared" si="16"/>
        <v>0.61728395061728392</v>
      </c>
      <c r="D74" s="122" t="str">
        <f t="shared" si="12"/>
        <v>63-40</v>
      </c>
    </row>
    <row r="75" spans="1:4">
      <c r="A75" s="111">
        <v>101</v>
      </c>
      <c r="B75" s="165">
        <f t="shared" si="15"/>
        <v>0.62135922330097082</v>
      </c>
      <c r="C75" s="165">
        <f t="shared" si="16"/>
        <v>0.62345679012345678</v>
      </c>
      <c r="D75" s="122" t="str">
        <f t="shared" si="12"/>
        <v>64-39</v>
      </c>
    </row>
    <row r="76" spans="1:4">
      <c r="A76" s="111">
        <v>102</v>
      </c>
      <c r="B76" s="165">
        <f t="shared" si="15"/>
        <v>0.6310679611650486</v>
      </c>
      <c r="C76" s="165">
        <f t="shared" si="16"/>
        <v>0.62962962962962965</v>
      </c>
      <c r="D76" s="122" t="str">
        <f t="shared" si="12"/>
        <v>65-38</v>
      </c>
    </row>
    <row r="77" spans="1:4">
      <c r="A77" s="111">
        <v>103</v>
      </c>
      <c r="B77" s="165">
        <f t="shared" si="15"/>
        <v>0.64077669902912626</v>
      </c>
      <c r="C77" s="165">
        <f t="shared" si="16"/>
        <v>0.63580246913580252</v>
      </c>
      <c r="D77" s="122" t="str">
        <f t="shared" si="12"/>
        <v>66-37</v>
      </c>
    </row>
    <row r="78" spans="1:4">
      <c r="A78" s="111">
        <v>104</v>
      </c>
      <c r="B78" s="165">
        <f t="shared" si="15"/>
        <v>0.65048543689320393</v>
      </c>
      <c r="C78" s="165">
        <f t="shared" si="16"/>
        <v>0.64197530864197527</v>
      </c>
      <c r="D78" s="122" t="str">
        <f t="shared" si="12"/>
        <v>67-36</v>
      </c>
    </row>
    <row r="79" spans="1:4">
      <c r="A79" s="111">
        <v>105</v>
      </c>
      <c r="B79" s="165">
        <f t="shared" si="15"/>
        <v>0.66019417475728159</v>
      </c>
      <c r="C79" s="165">
        <f t="shared" si="16"/>
        <v>0.64814814814814814</v>
      </c>
      <c r="D79" s="122" t="str">
        <f t="shared" si="12"/>
        <v>68-35</v>
      </c>
    </row>
    <row r="80" spans="1:4">
      <c r="A80" s="111">
        <v>106</v>
      </c>
      <c r="B80" s="165">
        <f t="shared" si="15"/>
        <v>0.66990291262135926</v>
      </c>
      <c r="C80" s="165">
        <f t="shared" si="16"/>
        <v>0.65432098765432101</v>
      </c>
      <c r="D80" s="122" t="str">
        <f t="shared" si="12"/>
        <v>69-34</v>
      </c>
    </row>
    <row r="81" spans="1:4">
      <c r="A81" s="111">
        <v>107</v>
      </c>
      <c r="B81" s="165">
        <f t="shared" si="15"/>
        <v>0.67961165048543692</v>
      </c>
      <c r="C81" s="165">
        <f t="shared" si="16"/>
        <v>0.66049382716049387</v>
      </c>
      <c r="D81" s="122" t="str">
        <f t="shared" si="12"/>
        <v>70-33</v>
      </c>
    </row>
    <row r="82" spans="1:4">
      <c r="A82" s="111">
        <v>108</v>
      </c>
      <c r="B82" s="165">
        <f t="shared" si="15"/>
        <v>0.68932038834951459</v>
      </c>
      <c r="C82" s="165">
        <f t="shared" si="16"/>
        <v>0.66666666666666663</v>
      </c>
      <c r="D82" s="122" t="str">
        <f t="shared" si="12"/>
        <v>71-32</v>
      </c>
    </row>
    <row r="83" spans="1:4">
      <c r="A83" s="111">
        <v>109</v>
      </c>
      <c r="B83" s="165">
        <f t="shared" si="15"/>
        <v>0.69902912621359226</v>
      </c>
      <c r="C83" s="165">
        <f t="shared" si="16"/>
        <v>0.6728395061728395</v>
      </c>
      <c r="D83" s="122" t="str">
        <f t="shared" si="12"/>
        <v>72-31</v>
      </c>
    </row>
    <row r="84" spans="1:4">
      <c r="A84" s="111">
        <v>110</v>
      </c>
      <c r="B84" s="165">
        <f t="shared" si="15"/>
        <v>0.70873786407766992</v>
      </c>
      <c r="C84" s="165">
        <f t="shared" si="16"/>
        <v>0.67901234567901236</v>
      </c>
      <c r="D84" s="122" t="str">
        <f t="shared" si="12"/>
        <v>73-30</v>
      </c>
    </row>
    <row r="85" spans="1:4" s="1" customFormat="1">
      <c r="A85" s="1" t="s">
        <v>343</v>
      </c>
      <c r="B85" s="1" t="s">
        <v>344</v>
      </c>
      <c r="C85" s="1" t="s">
        <v>342</v>
      </c>
      <c r="D85" s="1" t="s">
        <v>354</v>
      </c>
    </row>
    <row r="86" spans="1:4">
      <c r="A86">
        <f>ROUND($B$18+$B$27*B86,0)</f>
        <v>78</v>
      </c>
      <c r="B86" s="165">
        <v>0.4</v>
      </c>
      <c r="C86" s="165">
        <f>A86/$B$17</f>
        <v>0.48148148148148145</v>
      </c>
      <c r="D86" s="122" t="str">
        <f t="shared" si="12"/>
        <v>41-62</v>
      </c>
    </row>
    <row r="87" spans="1:4">
      <c r="A87">
        <f>ROUND($B$18+$B$27*B87,0)</f>
        <v>79</v>
      </c>
      <c r="B87" s="165">
        <v>0.41</v>
      </c>
      <c r="C87" s="165">
        <f>A87/$B$17</f>
        <v>0.48765432098765432</v>
      </c>
      <c r="D87" s="122" t="str">
        <f t="shared" si="12"/>
        <v>42-61</v>
      </c>
    </row>
    <row r="88" spans="1:4">
      <c r="A88">
        <f t="shared" ref="A88:A97" si="17">ROUND($B$18+$B$27*B88,0)</f>
        <v>80</v>
      </c>
      <c r="B88" s="165">
        <v>0.42</v>
      </c>
      <c r="C88" s="165">
        <f t="shared" ref="C88:C97" si="18">A88/$B$17</f>
        <v>0.49382716049382713</v>
      </c>
      <c r="D88" s="122" t="str">
        <f t="shared" si="12"/>
        <v>43-60</v>
      </c>
    </row>
    <row r="89" spans="1:4">
      <c r="A89">
        <f t="shared" si="17"/>
        <v>81</v>
      </c>
      <c r="B89" s="165">
        <v>0.43</v>
      </c>
      <c r="C89" s="165">
        <f t="shared" si="18"/>
        <v>0.5</v>
      </c>
      <c r="D89" s="122" t="str">
        <f t="shared" si="12"/>
        <v>44-59</v>
      </c>
    </row>
    <row r="90" spans="1:4">
      <c r="A90">
        <f t="shared" si="17"/>
        <v>82</v>
      </c>
      <c r="B90" s="165">
        <v>0.44</v>
      </c>
      <c r="C90" s="165">
        <f t="shared" si="18"/>
        <v>0.50617283950617287</v>
      </c>
      <c r="D90" s="122" t="str">
        <f t="shared" si="12"/>
        <v>45-58</v>
      </c>
    </row>
    <row r="91" spans="1:4">
      <c r="A91">
        <f t="shared" si="17"/>
        <v>83</v>
      </c>
      <c r="B91" s="165">
        <v>0.45</v>
      </c>
      <c r="C91" s="165">
        <f t="shared" si="18"/>
        <v>0.51234567901234573</v>
      </c>
      <c r="D91" s="122" t="str">
        <f t="shared" si="12"/>
        <v>46-57</v>
      </c>
    </row>
    <row r="92" spans="1:4">
      <c r="A92">
        <f t="shared" si="17"/>
        <v>84</v>
      </c>
      <c r="B92" s="165">
        <v>0.46</v>
      </c>
      <c r="C92" s="165">
        <f t="shared" si="18"/>
        <v>0.51851851851851849</v>
      </c>
      <c r="D92" s="122" t="str">
        <f t="shared" si="12"/>
        <v>47-56</v>
      </c>
    </row>
    <row r="93" spans="1:4">
      <c r="A93">
        <f t="shared" si="17"/>
        <v>85</v>
      </c>
      <c r="B93" s="165">
        <v>0.47</v>
      </c>
      <c r="C93" s="165">
        <f t="shared" si="18"/>
        <v>0.52469135802469136</v>
      </c>
      <c r="D93" s="122" t="str">
        <f t="shared" si="12"/>
        <v>48-55</v>
      </c>
    </row>
    <row r="94" spans="1:4">
      <c r="A94">
        <f t="shared" si="17"/>
        <v>86</v>
      </c>
      <c r="B94" s="165">
        <v>0.48</v>
      </c>
      <c r="C94" s="165">
        <f t="shared" si="18"/>
        <v>0.53086419753086422</v>
      </c>
      <c r="D94" s="122" t="str">
        <f t="shared" si="12"/>
        <v>49-54</v>
      </c>
    </row>
    <row r="95" spans="1:4">
      <c r="A95">
        <f t="shared" si="17"/>
        <v>87</v>
      </c>
      <c r="B95" s="165">
        <v>0.49</v>
      </c>
      <c r="C95" s="165">
        <f t="shared" si="18"/>
        <v>0.53703703703703709</v>
      </c>
      <c r="D95" s="122" t="str">
        <f t="shared" si="12"/>
        <v>50-53</v>
      </c>
    </row>
    <row r="96" spans="1:4">
      <c r="A96">
        <f t="shared" si="17"/>
        <v>89</v>
      </c>
      <c r="B96" s="165">
        <v>0.5</v>
      </c>
      <c r="C96" s="165">
        <f t="shared" si="18"/>
        <v>0.54938271604938271</v>
      </c>
      <c r="D96" s="122" t="str">
        <f t="shared" si="12"/>
        <v>52-51</v>
      </c>
    </row>
    <row r="97" spans="1:4">
      <c r="A97">
        <f t="shared" si="17"/>
        <v>90</v>
      </c>
      <c r="B97" s="165">
        <v>0.50999999999999901</v>
      </c>
      <c r="C97" s="165">
        <f t="shared" si="18"/>
        <v>0.55555555555555558</v>
      </c>
      <c r="D97" s="122" t="str">
        <f t="shared" si="12"/>
        <v>53-50</v>
      </c>
    </row>
    <row r="98" spans="1:4">
      <c r="A98">
        <f>ROUND($B$18+$B$27*B98,0)</f>
        <v>91</v>
      </c>
      <c r="B98" s="165">
        <v>0.51999999999999902</v>
      </c>
      <c r="C98" s="165">
        <f>A98/$B$17</f>
        <v>0.56172839506172845</v>
      </c>
      <c r="D98" s="122" t="str">
        <f t="shared" ref="D98:D116" si="19">IF(OR(A98&lt;$B$18,$B$18+$B$27&lt;A98),"-",(A98-$B$18)&amp;"-"&amp;($B$17-A98-$B$19))</f>
        <v>54-49</v>
      </c>
    </row>
    <row r="99" spans="1:4">
      <c r="A99">
        <f>ROUND($B$18+$B$27*B99,0)</f>
        <v>92</v>
      </c>
      <c r="B99" s="165">
        <v>0.52999999999999903</v>
      </c>
      <c r="C99" s="165">
        <f>A99/$B$17</f>
        <v>0.5679012345679012</v>
      </c>
      <c r="D99" s="122" t="str">
        <f t="shared" si="19"/>
        <v>55-48</v>
      </c>
    </row>
    <row r="100" spans="1:4">
      <c r="A100">
        <f t="shared" ref="A100:A103" si="20">ROUND($B$18+$B$27*B100,0)</f>
        <v>93</v>
      </c>
      <c r="B100" s="165">
        <v>0.53999999999999904</v>
      </c>
      <c r="C100" s="165">
        <f t="shared" ref="C100:C103" si="21">A100/$B$17</f>
        <v>0.57407407407407407</v>
      </c>
      <c r="D100" s="122" t="str">
        <f t="shared" si="19"/>
        <v>56-47</v>
      </c>
    </row>
    <row r="101" spans="1:4">
      <c r="A101">
        <f t="shared" si="20"/>
        <v>94</v>
      </c>
      <c r="B101" s="165">
        <v>0.54999999999999905</v>
      </c>
      <c r="C101" s="165">
        <f t="shared" si="21"/>
        <v>0.58024691358024694</v>
      </c>
      <c r="D101" s="122" t="str">
        <f t="shared" si="19"/>
        <v>57-46</v>
      </c>
    </row>
    <row r="102" spans="1:4">
      <c r="A102">
        <f t="shared" si="20"/>
        <v>95</v>
      </c>
      <c r="B102" s="165">
        <v>0.55999999999999905</v>
      </c>
      <c r="C102" s="165">
        <f t="shared" si="21"/>
        <v>0.5864197530864198</v>
      </c>
      <c r="D102" s="122" t="str">
        <f t="shared" si="19"/>
        <v>58-45</v>
      </c>
    </row>
    <row r="103" spans="1:4">
      <c r="A103">
        <f t="shared" si="20"/>
        <v>96</v>
      </c>
      <c r="B103" s="165">
        <v>0.56999999999999895</v>
      </c>
      <c r="C103" s="165">
        <f t="shared" si="21"/>
        <v>0.59259259259259256</v>
      </c>
      <c r="D103" s="122" t="str">
        <f t="shared" si="19"/>
        <v>59-44</v>
      </c>
    </row>
    <row r="104" spans="1:4">
      <c r="A104">
        <f>ROUND($B$18+$B$27*B104,0)</f>
        <v>97</v>
      </c>
      <c r="B104" s="165">
        <v>0.57999999999999896</v>
      </c>
      <c r="C104" s="165">
        <f>A104/$B$17</f>
        <v>0.59876543209876543</v>
      </c>
      <c r="D104" s="122" t="str">
        <f t="shared" si="19"/>
        <v>60-43</v>
      </c>
    </row>
    <row r="105" spans="1:4">
      <c r="A105">
        <f>ROUND($B$18+$B$27*B105,0)</f>
        <v>98</v>
      </c>
      <c r="B105" s="165">
        <v>0.58999999999999897</v>
      </c>
      <c r="C105" s="165">
        <f>A105/$B$17</f>
        <v>0.60493827160493829</v>
      </c>
      <c r="D105" s="122" t="str">
        <f t="shared" si="19"/>
        <v>61-42</v>
      </c>
    </row>
    <row r="106" spans="1:4">
      <c r="A106">
        <f t="shared" ref="A106:A109" si="22">ROUND($B$18+$B$27*B106,0)</f>
        <v>99</v>
      </c>
      <c r="B106" s="165">
        <v>0.59999999999999898</v>
      </c>
      <c r="C106" s="165">
        <f t="shared" ref="C106:C109" si="23">A106/$B$17</f>
        <v>0.61111111111111116</v>
      </c>
      <c r="D106" s="122" t="str">
        <f t="shared" si="19"/>
        <v>62-41</v>
      </c>
    </row>
    <row r="107" spans="1:4">
      <c r="A107">
        <f t="shared" si="22"/>
        <v>100</v>
      </c>
      <c r="B107" s="165">
        <v>0.60999999999999899</v>
      </c>
      <c r="C107" s="165">
        <f t="shared" si="23"/>
        <v>0.61728395061728392</v>
      </c>
      <c r="D107" s="122" t="str">
        <f t="shared" si="19"/>
        <v>63-40</v>
      </c>
    </row>
    <row r="108" spans="1:4">
      <c r="A108">
        <f t="shared" si="22"/>
        <v>101</v>
      </c>
      <c r="B108" s="165">
        <v>0.619999999999999</v>
      </c>
      <c r="C108" s="165">
        <f t="shared" si="23"/>
        <v>0.62345679012345678</v>
      </c>
      <c r="D108" s="122" t="str">
        <f t="shared" si="19"/>
        <v>64-39</v>
      </c>
    </row>
    <row r="109" spans="1:4">
      <c r="A109">
        <f t="shared" si="22"/>
        <v>102</v>
      </c>
      <c r="B109" s="165">
        <v>0.62999999999999901</v>
      </c>
      <c r="C109" s="165">
        <f t="shared" si="23"/>
        <v>0.62962962962962965</v>
      </c>
      <c r="D109" s="122" t="str">
        <f t="shared" si="19"/>
        <v>65-38</v>
      </c>
    </row>
    <row r="110" spans="1:4">
      <c r="A110">
        <f>ROUND($B$18+$B$27*B110,0)</f>
        <v>103</v>
      </c>
      <c r="B110" s="165">
        <v>0.63999999999999901</v>
      </c>
      <c r="C110" s="165">
        <f>A110/$B$17</f>
        <v>0.63580246913580252</v>
      </c>
      <c r="D110" s="122" t="str">
        <f t="shared" si="19"/>
        <v>66-37</v>
      </c>
    </row>
    <row r="111" spans="1:4">
      <c r="A111">
        <f>ROUND($B$18+$B$27*B111,0)</f>
        <v>104</v>
      </c>
      <c r="B111" s="165">
        <v>0.64999999999999902</v>
      </c>
      <c r="C111" s="165">
        <f>A111/$B$17</f>
        <v>0.64197530864197527</v>
      </c>
      <c r="D111" s="122" t="str">
        <f t="shared" si="19"/>
        <v>67-36</v>
      </c>
    </row>
    <row r="112" spans="1:4">
      <c r="A112">
        <f t="shared" ref="A112:A115" si="24">ROUND($B$18+$B$27*B112,0)</f>
        <v>105</v>
      </c>
      <c r="B112" s="165">
        <v>0.65999999999999903</v>
      </c>
      <c r="C112" s="165">
        <f t="shared" ref="C112:C115" si="25">A112/$B$17</f>
        <v>0.64814814814814814</v>
      </c>
      <c r="D112" s="122" t="str">
        <f t="shared" si="19"/>
        <v>68-35</v>
      </c>
    </row>
    <row r="113" spans="1:4">
      <c r="A113">
        <f t="shared" si="24"/>
        <v>106</v>
      </c>
      <c r="B113" s="165">
        <v>0.66999999999999904</v>
      </c>
      <c r="C113" s="165">
        <f t="shared" si="25"/>
        <v>0.65432098765432101</v>
      </c>
      <c r="D113" s="122" t="str">
        <f t="shared" si="19"/>
        <v>69-34</v>
      </c>
    </row>
    <row r="114" spans="1:4">
      <c r="A114">
        <f t="shared" si="24"/>
        <v>107</v>
      </c>
      <c r="B114" s="165">
        <v>0.67999999999999905</v>
      </c>
      <c r="C114" s="165">
        <f t="shared" si="25"/>
        <v>0.66049382716049387</v>
      </c>
      <c r="D114" s="122" t="str">
        <f t="shared" si="19"/>
        <v>70-33</v>
      </c>
    </row>
    <row r="115" spans="1:4">
      <c r="A115">
        <f t="shared" si="24"/>
        <v>108</v>
      </c>
      <c r="B115" s="165">
        <v>0.68999999999999895</v>
      </c>
      <c r="C115" s="165">
        <f t="shared" si="25"/>
        <v>0.66666666666666663</v>
      </c>
      <c r="D115" s="122" t="str">
        <f t="shared" si="19"/>
        <v>71-32</v>
      </c>
    </row>
    <row r="116" spans="1:4">
      <c r="A116">
        <f>ROUND($B$18+$B$27*B116,0)</f>
        <v>109</v>
      </c>
      <c r="B116" s="165">
        <v>0.69999999999999896</v>
      </c>
      <c r="C116" s="165">
        <f>A116/$B$17</f>
        <v>0.6728395061728395</v>
      </c>
      <c r="D116" s="122" t="str">
        <f t="shared" si="19"/>
        <v>72-31</v>
      </c>
    </row>
  </sheetData>
  <mergeCells count="4">
    <mergeCell ref="A2:B2"/>
    <mergeCell ref="C2:D2"/>
    <mergeCell ref="E2:F2"/>
    <mergeCell ref="G2:H2"/>
  </mergeCells>
  <hyperlinks>
    <hyperlink ref="A12" r:id="rId1" display="http://www.pebabaseball.com/reports/news/html/players/player_3959.html"/>
    <hyperlink ref="A13" r:id="rId2" display="http://www.pebabaseball.com/reports/news/html/players/player_9348.html"/>
    <hyperlink ref="A14" r:id="rId3" display="http://www.pebabaseball.com/reports/news/html/players/player_4180.html"/>
    <hyperlink ref="A15" r:id="rId4" display="http://www.pebabaseball.com/reports/news/html/players/player_10036.html"/>
    <hyperlink ref="A16" r:id="rId5" display="http://www.pebabaseball.com/reports/news/html/players/player_4700.html"/>
  </hyperlinks>
  <pageMargins left="0.7" right="0.7" top="0.75" bottom="0.75" header="0.3" footer="0.3"/>
  <pageSetup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tabColor theme="9"/>
  </sheetPr>
  <dimension ref="A2:E2"/>
  <sheetViews>
    <sheetView workbookViewId="0">
      <selection activeCell="F2" sqref="F2"/>
    </sheetView>
  </sheetViews>
  <sheetFormatPr defaultRowHeight="15"/>
  <sheetData>
    <row r="2" spans="1:5">
      <c r="A2" t="s">
        <v>122</v>
      </c>
      <c r="B2" t="s">
        <v>121</v>
      </c>
      <c r="C2" t="s">
        <v>94</v>
      </c>
      <c r="D2" t="s">
        <v>104</v>
      </c>
      <c r="E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 codeName="Sheet2">
    <tabColor theme="9"/>
  </sheetPr>
  <dimension ref="A1:W57"/>
  <sheetViews>
    <sheetView workbookViewId="0">
      <pane xSplit="1" topLeftCell="B1" activePane="topRight" state="frozenSplit"/>
      <selection pane="topRight" activeCell="M48" sqref="M48"/>
    </sheetView>
  </sheetViews>
  <sheetFormatPr defaultRowHeight="15"/>
  <cols>
    <col min="1" max="1" width="4.140625" style="122" bestFit="1" customWidth="1"/>
    <col min="2" max="2" width="18.85546875" style="122" bestFit="1" customWidth="1"/>
    <col min="3" max="3" width="4.5703125" style="122" bestFit="1" customWidth="1"/>
    <col min="4" max="4" width="8.85546875" style="122" bestFit="1" customWidth="1"/>
    <col min="5" max="5" width="4.42578125" style="122" bestFit="1" customWidth="1"/>
    <col min="6" max="6" width="6.42578125" style="122" bestFit="1" customWidth="1"/>
    <col min="7" max="7" width="16" style="122" bestFit="1" customWidth="1"/>
    <col min="8" max="11" width="16" style="122" customWidth="1"/>
    <col min="12" max="12" width="13.140625" style="122" bestFit="1" customWidth="1"/>
    <col min="13" max="13" width="48.140625" style="142" customWidth="1"/>
    <col min="14" max="14" width="5.42578125" style="122" bestFit="1" customWidth="1"/>
    <col min="15" max="15" width="5.85546875" style="122" bestFit="1" customWidth="1"/>
    <col min="16" max="16" width="5.7109375" style="122" bestFit="1" customWidth="1"/>
    <col min="17" max="17" width="13.140625" style="122" bestFit="1" customWidth="1"/>
    <col min="18" max="18" width="77.7109375" style="142" customWidth="1"/>
    <col min="19" max="19" width="5.42578125" style="122" bestFit="1" customWidth="1"/>
    <col min="20" max="20" width="5.85546875" style="122" bestFit="1" customWidth="1"/>
    <col min="21" max="21" width="5.7109375" style="122" bestFit="1" customWidth="1"/>
    <col min="22" max="22" width="9.140625" style="122"/>
    <col min="23" max="23" width="4.140625" style="122" bestFit="1" customWidth="1"/>
  </cols>
  <sheetData>
    <row r="1" spans="1:23">
      <c r="B1" s="122">
        <v>2</v>
      </c>
      <c r="C1" s="122">
        <v>36</v>
      </c>
      <c r="D1" s="122">
        <v>4</v>
      </c>
      <c r="E1" s="122">
        <v>2</v>
      </c>
    </row>
    <row r="2" spans="1:23" s="1" customForma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305" t="s">
        <v>363</v>
      </c>
      <c r="M2" s="306"/>
      <c r="N2" s="306"/>
      <c r="O2" s="306"/>
      <c r="P2" s="307"/>
      <c r="Q2" s="305" t="s">
        <v>364</v>
      </c>
      <c r="R2" s="306"/>
      <c r="S2" s="306"/>
      <c r="T2" s="306"/>
      <c r="U2" s="307"/>
      <c r="V2" s="125" t="s">
        <v>265</v>
      </c>
      <c r="W2" s="123"/>
    </row>
    <row r="3" spans="1:23" s="1" customFormat="1">
      <c r="A3" s="124" t="s">
        <v>122</v>
      </c>
      <c r="B3" s="136">
        <f>MIN(Payroll!E2:N2)</f>
        <v>2018</v>
      </c>
      <c r="C3" s="137" t="s">
        <v>247</v>
      </c>
      <c r="D3" s="138" t="s">
        <v>362</v>
      </c>
      <c r="E3" s="138" t="s">
        <v>94</v>
      </c>
      <c r="F3" s="138" t="s">
        <v>246</v>
      </c>
      <c r="G3" s="137">
        <f>B3+1</f>
        <v>2019</v>
      </c>
      <c r="H3" s="136">
        <f>G3+1</f>
        <v>2020</v>
      </c>
      <c r="I3" s="136">
        <f>H3+1</f>
        <v>2021</v>
      </c>
      <c r="J3" s="138">
        <f>I3+1</f>
        <v>2022</v>
      </c>
      <c r="K3" s="124" t="s">
        <v>348</v>
      </c>
      <c r="L3" s="133" t="s">
        <v>258</v>
      </c>
      <c r="M3" s="139" t="s">
        <v>253</v>
      </c>
      <c r="N3" s="126" t="s">
        <v>254</v>
      </c>
      <c r="O3" s="126" t="s">
        <v>255</v>
      </c>
      <c r="P3" s="127" t="s">
        <v>257</v>
      </c>
      <c r="Q3" s="133" t="s">
        <v>258</v>
      </c>
      <c r="R3" s="139" t="s">
        <v>253</v>
      </c>
      <c r="S3" s="126" t="s">
        <v>254</v>
      </c>
      <c r="T3" s="126" t="s">
        <v>255</v>
      </c>
      <c r="U3" s="127" t="s">
        <v>256</v>
      </c>
      <c r="V3" s="128" t="s">
        <v>257</v>
      </c>
      <c r="W3" s="124" t="s">
        <v>122</v>
      </c>
    </row>
    <row r="4" spans="1:23">
      <c r="A4" s="100" t="s">
        <v>95</v>
      </c>
      <c r="B4" s="129" t="str">
        <f>VLOOKUP($A4,CON!$B$2:$AZ$24,B$1,FALSE)</f>
        <v>Samuel Kettley</v>
      </c>
      <c r="C4" s="205">
        <f>VLOOKUP($A4,CON!$B$2:$AZ$24,C$1,FALSE)</f>
        <v>6.6944444444444446</v>
      </c>
      <c r="D4" s="217" t="str">
        <f>VLOOKUP($A4,CON!$T$27:$X$34,D$1,FALSE)&amp;" / "&amp;VLOOKUP($A4,CON!$T$27:$X$34,D$1+1,FALSE)</f>
        <v>10 / 10</v>
      </c>
      <c r="E4" s="218">
        <f>VLOOKUP(B4,CON!$C$2:$D$24,$E$1,FALSE)</f>
        <v>28</v>
      </c>
      <c r="F4" s="130"/>
      <c r="G4" s="182"/>
      <c r="H4" s="155"/>
      <c r="I4" s="155"/>
      <c r="J4" s="203"/>
      <c r="K4" s="100"/>
      <c r="L4" s="134" t="s">
        <v>261</v>
      </c>
      <c r="M4" s="140"/>
      <c r="N4" s="129">
        <f>IF(M4="",0,LEN(M4)-LEN(SUBSTITUTE(M4,",",""))+1)</f>
        <v>0</v>
      </c>
      <c r="O4" s="129">
        <v>1</v>
      </c>
      <c r="P4" s="130">
        <f>N4-O4</f>
        <v>-1</v>
      </c>
      <c r="Q4" s="134" t="s">
        <v>259</v>
      </c>
      <c r="R4" s="140"/>
      <c r="S4" s="129">
        <f>IF(R4="",0,LEN(R4)-LEN(SUBSTITUTE(R4,",",""))+1)</f>
        <v>0</v>
      </c>
      <c r="T4" s="129">
        <v>2</v>
      </c>
      <c r="U4" s="130">
        <f>S4-T4</f>
        <v>-2</v>
      </c>
      <c r="V4" s="100">
        <f>MIN(P4,P4+U4)</f>
        <v>-3</v>
      </c>
      <c r="W4" s="100" t="s">
        <v>95</v>
      </c>
    </row>
    <row r="5" spans="1:23">
      <c r="A5" s="100" t="s">
        <v>97</v>
      </c>
      <c r="B5" s="155" t="str">
        <f>VLOOKUP($A5,CON!$B$2:$AZ$24,B$1,FALSE)</f>
        <v>Mike Pugh</v>
      </c>
      <c r="C5" s="205">
        <f>VLOOKUP($A5,CON!$B$2:$AZ$24,C$1,FALSE)</f>
        <v>6.3611111111111107</v>
      </c>
      <c r="D5" s="129" t="str">
        <f>VLOOKUP($A5,CON!$T$27:$X$34,D$1,FALSE)&amp;" / "&amp;VLOOKUP($A5,CON!$T$27:$X$34,D$1+1,FALSE)</f>
        <v>7 / 3</v>
      </c>
      <c r="E5" s="130">
        <f>VLOOKUP(B5,CON!$C$2:$D$24,$E$1,FALSE)</f>
        <v>29</v>
      </c>
      <c r="F5" s="130"/>
      <c r="G5" s="182"/>
      <c r="H5" s="155"/>
      <c r="I5" s="155"/>
      <c r="J5" s="203"/>
      <c r="K5" s="100"/>
      <c r="L5" s="134" t="s">
        <v>41</v>
      </c>
      <c r="M5" s="140"/>
      <c r="N5" s="129">
        <f t="shared" ref="N5:N11" si="0">IF(M5="",0,LEN(M5)-LEN(SUBSTITUTE(M5,",",""))+1)</f>
        <v>0</v>
      </c>
      <c r="O5" s="129">
        <v>1</v>
      </c>
      <c r="P5" s="130">
        <f t="shared" ref="P5:P12" si="1">N5-O5</f>
        <v>-1</v>
      </c>
      <c r="Q5" s="134" t="s">
        <v>369</v>
      </c>
      <c r="R5" s="140"/>
      <c r="S5" s="129">
        <f t="shared" ref="S5:S11" si="2">IF(R5="",0,LEN(R5)-LEN(SUBSTITUTE(R5,",",""))+1)</f>
        <v>0</v>
      </c>
      <c r="T5" s="129">
        <v>1</v>
      </c>
      <c r="U5" s="130">
        <f t="shared" ref="U5:U12" si="3">S5-T5</f>
        <v>-1</v>
      </c>
      <c r="V5" s="100">
        <f t="shared" ref="V5:V12" si="4">MIN(P5,P5+U5)</f>
        <v>-2</v>
      </c>
      <c r="W5" s="100" t="s">
        <v>97</v>
      </c>
    </row>
    <row r="6" spans="1:23">
      <c r="A6" s="100" t="s">
        <v>98</v>
      </c>
      <c r="B6" s="155" t="str">
        <f>VLOOKUP($A6,CON!$B$2:$AZ$24,B$1,FALSE)</f>
        <v>Dave Wells</v>
      </c>
      <c r="C6" s="205">
        <f>VLOOKUP($A6,CON!$B$2:$AZ$24,C$1,FALSE)</f>
        <v>6.4444444444444446</v>
      </c>
      <c r="D6" s="129" t="str">
        <f>VLOOKUP($A6,CON!$T$27:$X$34,D$1,FALSE)&amp;" / "&amp;VLOOKUP($A6,CON!$T$27:$X$34,D$1+1,FALSE)</f>
        <v>7 / 5</v>
      </c>
      <c r="E6" s="130">
        <f>VLOOKUP(B6,CON!$C$2:$D$24,$E$1,FALSE)</f>
        <v>28</v>
      </c>
      <c r="F6" s="130"/>
      <c r="G6" s="182"/>
      <c r="H6" s="155"/>
      <c r="I6" s="155"/>
      <c r="J6" s="203"/>
      <c r="K6" s="100"/>
      <c r="L6" s="134" t="s">
        <v>266</v>
      </c>
      <c r="M6" s="140"/>
      <c r="N6" s="129">
        <f t="shared" si="0"/>
        <v>0</v>
      </c>
      <c r="O6" s="129">
        <v>1</v>
      </c>
      <c r="P6" s="130">
        <f t="shared" si="1"/>
        <v>-1</v>
      </c>
      <c r="Q6" s="134" t="s">
        <v>266</v>
      </c>
      <c r="R6" s="140"/>
      <c r="S6" s="129">
        <f t="shared" si="2"/>
        <v>0</v>
      </c>
      <c r="T6" s="129">
        <v>2</v>
      </c>
      <c r="U6" s="130">
        <f t="shared" si="3"/>
        <v>-2</v>
      </c>
      <c r="V6" s="100">
        <f t="shared" si="4"/>
        <v>-3</v>
      </c>
      <c r="W6" s="100" t="s">
        <v>98</v>
      </c>
    </row>
    <row r="7" spans="1:23">
      <c r="A7" s="100" t="s">
        <v>99</v>
      </c>
      <c r="B7" s="155" t="str">
        <f>VLOOKUP($A7,CON!$B$2:$AZ$24,B$1,FALSE)</f>
        <v>Alberto Mendoza</v>
      </c>
      <c r="C7" s="205">
        <f>VLOOKUP($A7,CON!$B$2:$AZ$24,C$1,FALSE)</f>
        <v>5.625</v>
      </c>
      <c r="D7" s="129" t="str">
        <f>VLOOKUP($A7,CON!$T$27:$X$34,D$1,FALSE)&amp;" / "&amp;VLOOKUP($A7,CON!$T$27:$X$34,D$1+1,FALSE)</f>
        <v>5 / 9</v>
      </c>
      <c r="E7" s="130">
        <f>VLOOKUP(B7,CON!$C$2:$D$24,$E$1,FALSE)</f>
        <v>25</v>
      </c>
      <c r="F7" s="130"/>
      <c r="G7" s="182"/>
      <c r="H7" s="155"/>
      <c r="I7" s="155"/>
      <c r="J7" s="203"/>
      <c r="K7" s="100" t="s">
        <v>401</v>
      </c>
      <c r="L7" s="134" t="s">
        <v>261</v>
      </c>
      <c r="M7" s="140"/>
      <c r="N7" s="129">
        <f t="shared" si="0"/>
        <v>0</v>
      </c>
      <c r="O7" s="129">
        <v>1</v>
      </c>
      <c r="P7" s="130">
        <f t="shared" si="1"/>
        <v>-1</v>
      </c>
      <c r="Q7" s="134" t="s">
        <v>267</v>
      </c>
      <c r="R7" s="140"/>
      <c r="S7" s="129">
        <f t="shared" si="2"/>
        <v>0</v>
      </c>
      <c r="T7" s="129">
        <v>2</v>
      </c>
      <c r="U7" s="130">
        <f t="shared" si="3"/>
        <v>-2</v>
      </c>
      <c r="V7" s="100">
        <f t="shared" si="4"/>
        <v>-3</v>
      </c>
      <c r="W7" s="100" t="s">
        <v>99</v>
      </c>
    </row>
    <row r="8" spans="1:23">
      <c r="A8" s="100" t="s">
        <v>100</v>
      </c>
      <c r="B8" s="155" t="str">
        <f>VLOOKUP($A8,CON!$B$2:$AZ$24,B$1,FALSE)</f>
        <v>Ronald Lowry</v>
      </c>
      <c r="C8" s="205">
        <f>VLOOKUP($A8,CON!$B$2:$AZ$24,C$1,FALSE)</f>
        <v>8.0277777777777786</v>
      </c>
      <c r="D8" s="129" t="str">
        <f>VLOOKUP($A8,CON!$T$27:$X$34,D$1,FALSE)&amp;" / "&amp;VLOOKUP($A8,CON!$T$27:$X$34,D$1+1,FALSE)</f>
        <v>7 / 8</v>
      </c>
      <c r="E8" s="130">
        <f>VLOOKUP(B8,CON!$C$2:$D$24,$E$1,FALSE)</f>
        <v>30</v>
      </c>
      <c r="F8" s="130"/>
      <c r="G8" s="182"/>
      <c r="H8" s="155"/>
      <c r="I8" s="155"/>
      <c r="J8" s="203"/>
      <c r="K8" s="100"/>
      <c r="L8" s="134" t="s">
        <v>262</v>
      </c>
      <c r="M8" s="140"/>
      <c r="N8" s="129">
        <f t="shared" si="0"/>
        <v>0</v>
      </c>
      <c r="O8" s="129">
        <v>1</v>
      </c>
      <c r="P8" s="130">
        <f t="shared" si="1"/>
        <v>-1</v>
      </c>
      <c r="Q8" s="134" t="s">
        <v>260</v>
      </c>
      <c r="R8" s="140"/>
      <c r="S8" s="129">
        <f t="shared" si="2"/>
        <v>0</v>
      </c>
      <c r="T8" s="129">
        <v>2</v>
      </c>
      <c r="U8" s="130">
        <f t="shared" si="3"/>
        <v>-2</v>
      </c>
      <c r="V8" s="100">
        <f t="shared" si="4"/>
        <v>-3</v>
      </c>
      <c r="W8" s="100" t="s">
        <v>100</v>
      </c>
    </row>
    <row r="9" spans="1:23">
      <c r="A9" s="100" t="s">
        <v>101</v>
      </c>
      <c r="B9" s="155" t="str">
        <f>VLOOKUP($A9,CON!$B$2:$AZ$24,B$1,FALSE)</f>
        <v>Russell Wright</v>
      </c>
      <c r="C9" s="205">
        <f>VLOOKUP($A9,CON!$B$2:$AZ$24,C$1,FALSE)</f>
        <v>7.2361111111111107</v>
      </c>
      <c r="D9" s="129" t="str">
        <f>VLOOKUP($A9,CON!$T$27:$X$34,D$1,FALSE)&amp;" / "&amp;VLOOKUP($A9,CON!$T$27:$X$34,D$1+1,FALSE)</f>
        <v>10 / 4</v>
      </c>
      <c r="E9" s="130">
        <f>VLOOKUP(B9,CON!$C$2:$D$24,$E$1,FALSE)</f>
        <v>27</v>
      </c>
      <c r="F9" s="130"/>
      <c r="G9" s="182"/>
      <c r="H9" s="155"/>
      <c r="I9" s="155"/>
      <c r="J9" s="155"/>
      <c r="K9" s="100"/>
      <c r="L9" s="134" t="s">
        <v>263</v>
      </c>
      <c r="M9" s="140"/>
      <c r="N9" s="129">
        <f t="shared" si="0"/>
        <v>0</v>
      </c>
      <c r="O9" s="129">
        <v>1</v>
      </c>
      <c r="P9" s="130">
        <f t="shared" si="1"/>
        <v>-1</v>
      </c>
      <c r="Q9" s="134" t="s">
        <v>262</v>
      </c>
      <c r="R9" s="143"/>
      <c r="S9" s="129">
        <f t="shared" si="2"/>
        <v>0</v>
      </c>
      <c r="T9" s="129">
        <v>1</v>
      </c>
      <c r="U9" s="130">
        <f t="shared" si="3"/>
        <v>-1</v>
      </c>
      <c r="V9" s="100">
        <f t="shared" si="4"/>
        <v>-2</v>
      </c>
      <c r="W9" s="100" t="s">
        <v>101</v>
      </c>
    </row>
    <row r="10" spans="1:23">
      <c r="A10" s="100" t="s">
        <v>102</v>
      </c>
      <c r="B10" s="155" t="str">
        <f>VLOOKUP($A10,CON!$B$2:$AZ$24,B$1,FALSE)</f>
        <v>En-Guo Guao</v>
      </c>
      <c r="C10" s="205">
        <f>VLOOKUP($A10,CON!$B$2:$AZ$24,C$1,FALSE)</f>
        <v>6.4444444444444446</v>
      </c>
      <c r="D10" s="129" t="str">
        <f>VLOOKUP($A10,CON!$T$27:$X$34,D$1,FALSE)&amp;" / "&amp;VLOOKUP($A10,CON!$T$27:$X$34,D$1+1,FALSE)</f>
        <v>10 / 9</v>
      </c>
      <c r="E10" s="130">
        <f>VLOOKUP(B10,CON!$C$2:$D$24,$E$1,FALSE)</f>
        <v>28</v>
      </c>
      <c r="F10" s="130"/>
      <c r="G10" s="182"/>
      <c r="H10" s="155"/>
      <c r="I10" s="155"/>
      <c r="J10" s="203"/>
      <c r="K10" s="100" t="s">
        <v>395</v>
      </c>
      <c r="L10" s="134" t="s">
        <v>262</v>
      </c>
      <c r="M10" s="140"/>
      <c r="N10" s="129">
        <f t="shared" si="0"/>
        <v>0</v>
      </c>
      <c r="O10" s="129">
        <v>1</v>
      </c>
      <c r="P10" s="130">
        <f t="shared" si="1"/>
        <v>-1</v>
      </c>
      <c r="Q10" s="134" t="s">
        <v>266</v>
      </c>
      <c r="R10" s="140"/>
      <c r="S10" s="129">
        <f t="shared" si="2"/>
        <v>0</v>
      </c>
      <c r="T10" s="129">
        <v>1</v>
      </c>
      <c r="U10" s="130">
        <f t="shared" si="3"/>
        <v>-1</v>
      </c>
      <c r="V10" s="100">
        <f t="shared" si="4"/>
        <v>-2</v>
      </c>
      <c r="W10" s="100" t="s">
        <v>102</v>
      </c>
    </row>
    <row r="11" spans="1:23">
      <c r="A11" s="100" t="s">
        <v>103</v>
      </c>
      <c r="B11" s="155" t="str">
        <f>VLOOKUP($A11,CON!$B$2:$AZ$24,B$1,FALSE)</f>
        <v>John Martin</v>
      </c>
      <c r="C11" s="205">
        <f>VLOOKUP($A11,CON!$B$2:$AZ$24,C$1,FALSE)</f>
        <v>7.208333333333333</v>
      </c>
      <c r="D11" s="129" t="str">
        <f>VLOOKUP($A11,CON!$T$27:$X$34,D$1,FALSE)&amp;" / "&amp;VLOOKUP($A11,CON!$T$27:$X$34,D$1+1,FALSE)</f>
        <v>10 / 10</v>
      </c>
      <c r="E11" s="130">
        <f>VLOOKUP(B11,CON!$C$2:$D$24,$E$1,FALSE)</f>
        <v>24</v>
      </c>
      <c r="F11" s="130"/>
      <c r="G11" s="182"/>
      <c r="H11" s="155"/>
      <c r="I11" s="155"/>
      <c r="J11" s="203"/>
      <c r="K11" s="100"/>
      <c r="L11" s="134" t="s">
        <v>264</v>
      </c>
      <c r="M11" s="140"/>
      <c r="N11" s="129">
        <f t="shared" si="0"/>
        <v>0</v>
      </c>
      <c r="O11" s="129">
        <v>1</v>
      </c>
      <c r="P11" s="130">
        <f t="shared" si="1"/>
        <v>-1</v>
      </c>
      <c r="Q11" s="134" t="s">
        <v>268</v>
      </c>
      <c r="R11" s="143"/>
      <c r="S11" s="129">
        <f t="shared" si="2"/>
        <v>0</v>
      </c>
      <c r="T11" s="129">
        <v>1</v>
      </c>
      <c r="U11" s="130">
        <f t="shared" si="3"/>
        <v>-1</v>
      </c>
      <c r="V11" s="100">
        <f t="shared" si="4"/>
        <v>-2</v>
      </c>
      <c r="W11" s="100" t="s">
        <v>103</v>
      </c>
    </row>
    <row r="12" spans="1:23">
      <c r="A12" s="101" t="s">
        <v>18</v>
      </c>
      <c r="B12" s="156" t="str">
        <f>VLOOKUP($A12,CON!$B$2:$AZ$24,B$1,FALSE)</f>
        <v>Ricardo Longoria</v>
      </c>
      <c r="C12" s="206">
        <f>VLOOKUP($A12,CON!$B$2:$AZ$24,C$1,FALSE)</f>
        <v>7.7361111111111107</v>
      </c>
      <c r="D12" s="131" t="s">
        <v>41</v>
      </c>
      <c r="E12" s="132">
        <f>VLOOKUP(B12,CON!$C$2:$D$24,$E$1,FALSE)</f>
        <v>29</v>
      </c>
      <c r="F12" s="132"/>
      <c r="G12" s="183"/>
      <c r="H12" s="156"/>
      <c r="I12" s="156"/>
      <c r="J12" s="204"/>
      <c r="K12" s="101" t="s">
        <v>462</v>
      </c>
      <c r="L12" s="135" t="s">
        <v>41</v>
      </c>
      <c r="M12" s="141"/>
      <c r="N12" s="131">
        <f>SUMIF(P3:P11,"&gt;0")+IF(M12="",0,LEN(M12)-LEN(SUBSTITUTE(M12,",",""))+1)</f>
        <v>0</v>
      </c>
      <c r="O12" s="131">
        <v>1</v>
      </c>
      <c r="P12" s="132">
        <f t="shared" si="1"/>
        <v>-1</v>
      </c>
      <c r="Q12" s="135" t="s">
        <v>41</v>
      </c>
      <c r="R12" s="141"/>
      <c r="S12" s="131">
        <f>SUMIF(U3:U11,"&gt;0")+IF(R12="",0,LEN(R12)-LEN(SUBSTITUTE(R12,",",""))+1)</f>
        <v>0</v>
      </c>
      <c r="T12" s="131">
        <v>0</v>
      </c>
      <c r="U12" s="132">
        <f t="shared" si="3"/>
        <v>0</v>
      </c>
      <c r="V12" s="101">
        <f t="shared" si="4"/>
        <v>-1</v>
      </c>
      <c r="W12" s="101" t="s">
        <v>18</v>
      </c>
    </row>
    <row r="15" spans="1:23">
      <c r="L15" s="305" t="s">
        <v>365</v>
      </c>
      <c r="M15" s="306"/>
      <c r="N15" s="306"/>
      <c r="O15" s="306"/>
      <c r="P15" s="307"/>
      <c r="Q15" s="305" t="s">
        <v>366</v>
      </c>
      <c r="R15" s="306"/>
      <c r="S15" s="306"/>
      <c r="T15" s="306"/>
      <c r="U15" s="307"/>
      <c r="V15" s="125" t="s">
        <v>265</v>
      </c>
    </row>
    <row r="16" spans="1:23">
      <c r="K16" s="124" t="s">
        <v>122</v>
      </c>
      <c r="L16" s="133" t="s">
        <v>258</v>
      </c>
      <c r="M16" s="139" t="s">
        <v>253</v>
      </c>
      <c r="N16" s="126" t="s">
        <v>254</v>
      </c>
      <c r="O16" s="126" t="s">
        <v>255</v>
      </c>
      <c r="P16" s="127" t="s">
        <v>257</v>
      </c>
      <c r="Q16" s="133" t="s">
        <v>258</v>
      </c>
      <c r="R16" s="139" t="s">
        <v>253</v>
      </c>
      <c r="S16" s="126" t="s">
        <v>254</v>
      </c>
      <c r="T16" s="126" t="s">
        <v>255</v>
      </c>
      <c r="U16" s="127" t="s">
        <v>256</v>
      </c>
      <c r="V16" s="128" t="s">
        <v>257</v>
      </c>
      <c r="W16" s="124" t="s">
        <v>122</v>
      </c>
    </row>
    <row r="17" spans="1:23">
      <c r="K17" s="100" t="s">
        <v>95</v>
      </c>
      <c r="L17" s="134" t="s">
        <v>261</v>
      </c>
      <c r="M17" s="140"/>
      <c r="N17" s="129">
        <f>IF(M17="",0,LEN(M17)-LEN(SUBSTITUTE(M17,",",""))+1)</f>
        <v>0</v>
      </c>
      <c r="O17" s="129">
        <v>2</v>
      </c>
      <c r="P17" s="130">
        <f>N17-O17</f>
        <v>-2</v>
      </c>
      <c r="Q17" s="134" t="s">
        <v>259</v>
      </c>
      <c r="R17" s="140"/>
      <c r="S17" s="129">
        <f>IF(R17="",0,LEN(R17)-LEN(SUBSTITUTE(R17,",",""))+1)</f>
        <v>0</v>
      </c>
      <c r="T17" s="129">
        <v>4</v>
      </c>
      <c r="U17" s="130">
        <f>S17-T17</f>
        <v>-4</v>
      </c>
      <c r="V17" s="100">
        <f>MIN(P17,P17+U17)</f>
        <v>-6</v>
      </c>
      <c r="W17" s="100" t="s">
        <v>95</v>
      </c>
    </row>
    <row r="18" spans="1:23">
      <c r="K18" s="100" t="s">
        <v>97</v>
      </c>
      <c r="L18" s="134" t="s">
        <v>41</v>
      </c>
      <c r="M18" s="140" t="s">
        <v>462</v>
      </c>
      <c r="N18" s="129">
        <f t="shared" ref="N18:N24" si="5">IF(M18="",0,LEN(M18)-LEN(SUBSTITUTE(M18,",",""))+1)</f>
        <v>1</v>
      </c>
      <c r="O18" s="129">
        <v>2</v>
      </c>
      <c r="P18" s="130">
        <f t="shared" ref="P18:P25" si="6">N18-O18</f>
        <v>-1</v>
      </c>
      <c r="Q18" s="134" t="s">
        <v>369</v>
      </c>
      <c r="R18" s="140"/>
      <c r="S18" s="129">
        <f t="shared" ref="S18:S24" si="7">IF(R18="",0,LEN(R18)-LEN(SUBSTITUTE(R18,",",""))+1)</f>
        <v>0</v>
      </c>
      <c r="T18" s="129">
        <v>2</v>
      </c>
      <c r="U18" s="130">
        <f t="shared" ref="U18:U25" si="8">S18-T18</f>
        <v>-2</v>
      </c>
      <c r="V18" s="100">
        <f t="shared" ref="V18:V25" si="9">MIN(P18,P18+U18)</f>
        <v>-3</v>
      </c>
      <c r="W18" s="100" t="s">
        <v>97</v>
      </c>
    </row>
    <row r="19" spans="1:23">
      <c r="K19" s="100" t="s">
        <v>98</v>
      </c>
      <c r="L19" s="134" t="s">
        <v>266</v>
      </c>
      <c r="M19" s="140"/>
      <c r="N19" s="129">
        <f t="shared" si="5"/>
        <v>0</v>
      </c>
      <c r="O19" s="129">
        <v>2</v>
      </c>
      <c r="P19" s="130">
        <f t="shared" si="6"/>
        <v>-2</v>
      </c>
      <c r="Q19" s="134" t="s">
        <v>266</v>
      </c>
      <c r="R19" s="140"/>
      <c r="S19" s="129">
        <f t="shared" si="7"/>
        <v>0</v>
      </c>
      <c r="T19" s="129">
        <v>4</v>
      </c>
      <c r="U19" s="130">
        <f t="shared" si="8"/>
        <v>-4</v>
      </c>
      <c r="V19" s="100">
        <f t="shared" si="9"/>
        <v>-6</v>
      </c>
      <c r="W19" s="100" t="s">
        <v>98</v>
      </c>
    </row>
    <row r="20" spans="1:23">
      <c r="K20" s="100" t="s">
        <v>99</v>
      </c>
      <c r="L20" s="134" t="s">
        <v>261</v>
      </c>
      <c r="M20" s="140" t="s">
        <v>401</v>
      </c>
      <c r="N20" s="129">
        <f t="shared" si="5"/>
        <v>1</v>
      </c>
      <c r="O20" s="129">
        <v>2</v>
      </c>
      <c r="P20" s="130">
        <f t="shared" si="6"/>
        <v>-1</v>
      </c>
      <c r="Q20" s="134" t="s">
        <v>267</v>
      </c>
      <c r="R20" s="140"/>
      <c r="S20" s="129">
        <f t="shared" si="7"/>
        <v>0</v>
      </c>
      <c r="T20" s="129">
        <v>4</v>
      </c>
      <c r="U20" s="130">
        <f t="shared" si="8"/>
        <v>-4</v>
      </c>
      <c r="V20" s="100">
        <f t="shared" si="9"/>
        <v>-5</v>
      </c>
      <c r="W20" s="100" t="s">
        <v>99</v>
      </c>
    </row>
    <row r="21" spans="1:23">
      <c r="K21" s="100" t="s">
        <v>100</v>
      </c>
      <c r="L21" s="134" t="s">
        <v>262</v>
      </c>
      <c r="M21" s="140"/>
      <c r="N21" s="129">
        <f t="shared" si="5"/>
        <v>0</v>
      </c>
      <c r="O21" s="129">
        <v>2</v>
      </c>
      <c r="P21" s="130">
        <f t="shared" si="6"/>
        <v>-2</v>
      </c>
      <c r="Q21" s="134" t="s">
        <v>260</v>
      </c>
      <c r="R21" s="140"/>
      <c r="S21" s="129">
        <f t="shared" si="7"/>
        <v>0</v>
      </c>
      <c r="T21" s="129">
        <v>4</v>
      </c>
      <c r="U21" s="130">
        <f t="shared" si="8"/>
        <v>-4</v>
      </c>
      <c r="V21" s="100">
        <f t="shared" si="9"/>
        <v>-6</v>
      </c>
      <c r="W21" s="100" t="s">
        <v>100</v>
      </c>
    </row>
    <row r="22" spans="1:23">
      <c r="K22" s="100" t="s">
        <v>101</v>
      </c>
      <c r="L22" s="134" t="s">
        <v>263</v>
      </c>
      <c r="M22" s="140" t="s">
        <v>395</v>
      </c>
      <c r="N22" s="129">
        <f t="shared" si="5"/>
        <v>1</v>
      </c>
      <c r="O22" s="129">
        <v>2</v>
      </c>
      <c r="P22" s="130">
        <f t="shared" si="6"/>
        <v>-1</v>
      </c>
      <c r="Q22" s="134" t="s">
        <v>262</v>
      </c>
      <c r="R22" s="143"/>
      <c r="S22" s="129">
        <f t="shared" si="7"/>
        <v>0</v>
      </c>
      <c r="T22" s="129">
        <v>2</v>
      </c>
      <c r="U22" s="130">
        <f t="shared" si="8"/>
        <v>-2</v>
      </c>
      <c r="V22" s="100">
        <f t="shared" si="9"/>
        <v>-3</v>
      </c>
      <c r="W22" s="100" t="s">
        <v>101</v>
      </c>
    </row>
    <row r="23" spans="1:23">
      <c r="K23" s="100" t="s">
        <v>102</v>
      </c>
      <c r="L23" s="134" t="s">
        <v>262</v>
      </c>
      <c r="M23" s="140" t="s">
        <v>395</v>
      </c>
      <c r="N23" s="129">
        <f t="shared" si="5"/>
        <v>1</v>
      </c>
      <c r="O23" s="129">
        <v>2</v>
      </c>
      <c r="P23" s="130">
        <f t="shared" si="6"/>
        <v>-1</v>
      </c>
      <c r="Q23" s="134" t="s">
        <v>266</v>
      </c>
      <c r="R23" s="140"/>
      <c r="S23" s="129">
        <f t="shared" si="7"/>
        <v>0</v>
      </c>
      <c r="T23" s="129">
        <v>4</v>
      </c>
      <c r="U23" s="130">
        <f t="shared" si="8"/>
        <v>-4</v>
      </c>
      <c r="V23" s="100">
        <f t="shared" si="9"/>
        <v>-5</v>
      </c>
      <c r="W23" s="100" t="s">
        <v>102</v>
      </c>
    </row>
    <row r="24" spans="1:23">
      <c r="K24" s="100" t="s">
        <v>103</v>
      </c>
      <c r="L24" s="134" t="s">
        <v>264</v>
      </c>
      <c r="M24" s="140" t="s">
        <v>528</v>
      </c>
      <c r="N24" s="129">
        <f t="shared" si="5"/>
        <v>2</v>
      </c>
      <c r="O24" s="129">
        <v>2</v>
      </c>
      <c r="P24" s="130">
        <f t="shared" si="6"/>
        <v>0</v>
      </c>
      <c r="Q24" s="134" t="s">
        <v>268</v>
      </c>
      <c r="R24" s="143"/>
      <c r="S24" s="129">
        <f t="shared" si="7"/>
        <v>0</v>
      </c>
      <c r="T24" s="129">
        <v>2</v>
      </c>
      <c r="U24" s="130">
        <f t="shared" si="8"/>
        <v>-2</v>
      </c>
      <c r="V24" s="100">
        <f t="shared" si="9"/>
        <v>-2</v>
      </c>
      <c r="W24" s="100" t="s">
        <v>103</v>
      </c>
    </row>
    <row r="25" spans="1:23">
      <c r="K25" s="101" t="s">
        <v>18</v>
      </c>
      <c r="L25" s="135" t="s">
        <v>41</v>
      </c>
      <c r="M25" s="141"/>
      <c r="N25" s="131">
        <f>MAX(0,SUM(N17:N24)-8)+IF(M25="",0,LEN(M25)-LEN(SUBSTITUTE(M25,",",""))+1)</f>
        <v>0</v>
      </c>
      <c r="O25" s="131">
        <v>2</v>
      </c>
      <c r="P25" s="132">
        <f t="shared" si="6"/>
        <v>-2</v>
      </c>
      <c r="Q25" s="135" t="s">
        <v>41</v>
      </c>
      <c r="R25" s="141"/>
      <c r="S25" s="131">
        <f>MAX(0,SUM(S17:S24)-16)+IF(R25="",0,LEN(R25)-LEN(SUBSTITUTE(R25,",",""))+1)</f>
        <v>0</v>
      </c>
      <c r="T25" s="131">
        <v>0</v>
      </c>
      <c r="U25" s="132">
        <f t="shared" si="8"/>
        <v>0</v>
      </c>
      <c r="V25" s="101">
        <f t="shared" si="9"/>
        <v>-2</v>
      </c>
      <c r="W25" s="101" t="s">
        <v>18</v>
      </c>
    </row>
    <row r="28" spans="1:23" s="1" customForma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305" t="s">
        <v>367</v>
      </c>
      <c r="M28" s="306"/>
      <c r="N28" s="306"/>
      <c r="O28" s="306"/>
      <c r="P28" s="307"/>
      <c r="Q28" s="305" t="s">
        <v>373</v>
      </c>
      <c r="R28" s="306"/>
      <c r="S28" s="306"/>
      <c r="T28" s="306"/>
      <c r="U28" s="307"/>
      <c r="V28" s="125" t="s">
        <v>265</v>
      </c>
      <c r="W28" s="123"/>
    </row>
    <row r="29" spans="1:23" s="1" customFormat="1">
      <c r="A29" s="124" t="s">
        <v>122</v>
      </c>
      <c r="B29" s="136">
        <f>B3</f>
        <v>2018</v>
      </c>
      <c r="C29" s="137" t="s">
        <v>149</v>
      </c>
      <c r="D29" s="136" t="s">
        <v>309</v>
      </c>
      <c r="E29" s="138" t="s">
        <v>94</v>
      </c>
      <c r="F29" s="138" t="s">
        <v>246</v>
      </c>
      <c r="G29" s="137">
        <f>B29+1</f>
        <v>2019</v>
      </c>
      <c r="H29" s="136">
        <f>G29+1</f>
        <v>2020</v>
      </c>
      <c r="I29" s="136">
        <f>H29+1</f>
        <v>2021</v>
      </c>
      <c r="J29" s="136">
        <f>I29+1</f>
        <v>2022</v>
      </c>
      <c r="K29" s="124" t="s">
        <v>348</v>
      </c>
      <c r="L29" s="133" t="s">
        <v>368</v>
      </c>
      <c r="M29" s="139" t="s">
        <v>253</v>
      </c>
      <c r="N29" s="126" t="s">
        <v>254</v>
      </c>
      <c r="O29" s="126" t="s">
        <v>255</v>
      </c>
      <c r="P29" s="127" t="s">
        <v>257</v>
      </c>
      <c r="Q29" s="133" t="s">
        <v>368</v>
      </c>
      <c r="R29" s="139" t="s">
        <v>253</v>
      </c>
      <c r="S29" s="126" t="s">
        <v>254</v>
      </c>
      <c r="T29" s="126" t="s">
        <v>255</v>
      </c>
      <c r="U29" s="127" t="s">
        <v>256</v>
      </c>
      <c r="V29" s="128" t="s">
        <v>257</v>
      </c>
      <c r="W29" s="124" t="s">
        <v>122</v>
      </c>
    </row>
    <row r="30" spans="1:23">
      <c r="A30" s="100" t="s">
        <v>111</v>
      </c>
      <c r="B30" s="155" t="str">
        <f>CON!C53</f>
        <v>Carlos Rivera</v>
      </c>
      <c r="C30" s="134"/>
      <c r="D30" s="129"/>
      <c r="E30" s="130">
        <f>VLOOKUP(B30,CON!$C$52:$D$70,$E$1,FALSE)</f>
        <v>25</v>
      </c>
      <c r="F30" s="130"/>
      <c r="G30" s="134" t="s">
        <v>451</v>
      </c>
      <c r="H30" s="129"/>
      <c r="I30" s="129"/>
      <c r="J30" s="129"/>
      <c r="K30" s="100"/>
      <c r="L30" s="134">
        <v>8</v>
      </c>
      <c r="M30" s="140" t="s">
        <v>531</v>
      </c>
      <c r="N30" s="129">
        <f>IF(M30="",0,LEN(M30)-LEN(SUBSTITUTE(M30,",",""))+1)</f>
        <v>2</v>
      </c>
      <c r="O30" s="129">
        <v>2</v>
      </c>
      <c r="P30" s="130">
        <f>N30-O30</f>
        <v>0</v>
      </c>
      <c r="Q30" s="134">
        <f>L30</f>
        <v>8</v>
      </c>
      <c r="R30" s="140" t="s">
        <v>534</v>
      </c>
      <c r="S30" s="129">
        <f>IF(R30="",0,LEN(R30)-LEN(SUBSTITUTE(R30,",",""))+1)</f>
        <v>3</v>
      </c>
      <c r="T30" s="129">
        <v>2</v>
      </c>
      <c r="U30" s="130">
        <f>S30-T30</f>
        <v>1</v>
      </c>
      <c r="V30" s="100">
        <f>MIN(P30,P30+U30)</f>
        <v>0</v>
      </c>
      <c r="W30" s="100" t="s">
        <v>111</v>
      </c>
    </row>
    <row r="31" spans="1:23">
      <c r="A31" s="100" t="s">
        <v>111</v>
      </c>
      <c r="B31" s="129" t="str">
        <f>CON!C54</f>
        <v>Luis Gusmán</v>
      </c>
      <c r="C31" s="134"/>
      <c r="D31" s="129"/>
      <c r="E31" s="130">
        <f>VLOOKUP(B31,CON!$C$52:$D$70,$E$1,FALSE)</f>
        <v>25</v>
      </c>
      <c r="F31" s="130"/>
      <c r="G31" s="182" t="s">
        <v>4</v>
      </c>
      <c r="H31" s="155" t="s">
        <v>4</v>
      </c>
      <c r="I31" s="155"/>
      <c r="J31" s="155"/>
      <c r="K31" s="100"/>
      <c r="L31" s="134">
        <v>7</v>
      </c>
      <c r="M31" s="140" t="s">
        <v>529</v>
      </c>
      <c r="N31" s="129">
        <f>IF(M31="",0,LEN(M31)-LEN(SUBSTITUTE(M31,",",""))+1)+IF(P30&gt;0,P30,0)</f>
        <v>2</v>
      </c>
      <c r="O31" s="129">
        <v>1</v>
      </c>
      <c r="P31" s="130">
        <f t="shared" ref="P31:P37" si="10">N31-O31</f>
        <v>1</v>
      </c>
      <c r="Q31" s="134">
        <f t="shared" ref="Q31:Q32" si="11">L31</f>
        <v>7</v>
      </c>
      <c r="R31" s="140" t="s">
        <v>536</v>
      </c>
      <c r="S31" s="129">
        <f>IF(R31="",0,LEN(R31)-LEN(SUBSTITUTE(R31,",",""))+1)+IF(U30&gt;0,U30,0)</f>
        <v>2</v>
      </c>
      <c r="T31" s="129">
        <v>1</v>
      </c>
      <c r="U31" s="130">
        <f t="shared" ref="U31:U37" si="12">S31-T31</f>
        <v>1</v>
      </c>
      <c r="V31" s="100">
        <f t="shared" ref="V31:V37" si="13">MIN(P31,P31+U31)</f>
        <v>1</v>
      </c>
      <c r="W31" s="100" t="s">
        <v>111</v>
      </c>
    </row>
    <row r="32" spans="1:23">
      <c r="A32" s="100" t="s">
        <v>111</v>
      </c>
      <c r="B32" s="129" t="str">
        <f>CON!C55</f>
        <v>Niccolo Arcimboldo</v>
      </c>
      <c r="C32" s="134"/>
      <c r="D32" s="129"/>
      <c r="E32" s="130">
        <f>VLOOKUP(B32,CON!$C$52:$D$70,$E$1,FALSE)</f>
        <v>24</v>
      </c>
      <c r="F32" s="130"/>
      <c r="G32" s="134"/>
      <c r="H32" s="129"/>
      <c r="I32" s="129"/>
      <c r="J32" s="129"/>
      <c r="K32" s="100"/>
      <c r="L32" s="134">
        <v>6</v>
      </c>
      <c r="M32" s="140"/>
      <c r="N32" s="129">
        <f>IF(M32="",0,LEN(M32)-LEN(SUBSTITUTE(M32,",",""))+1)+IF(P31&gt;0,P31,0)</f>
        <v>1</v>
      </c>
      <c r="O32" s="129">
        <v>3</v>
      </c>
      <c r="P32" s="130">
        <f t="shared" si="10"/>
        <v>-2</v>
      </c>
      <c r="Q32" s="134">
        <f t="shared" si="11"/>
        <v>6</v>
      </c>
      <c r="R32" s="140"/>
      <c r="S32" s="129">
        <f>IF(R32="",0,LEN(R32)-LEN(SUBSTITUTE(R32,",",""))+1)+IF(U31&gt;0,U31,0)</f>
        <v>1</v>
      </c>
      <c r="T32" s="129">
        <v>3</v>
      </c>
      <c r="U32" s="130">
        <f t="shared" si="12"/>
        <v>-2</v>
      </c>
      <c r="V32" s="100">
        <f t="shared" si="13"/>
        <v>-4</v>
      </c>
      <c r="W32" s="100" t="s">
        <v>111</v>
      </c>
    </row>
    <row r="33" spans="1:23">
      <c r="A33" s="100" t="s">
        <v>111</v>
      </c>
      <c r="B33" s="129" t="str">
        <f>CON!C56</f>
        <v>Randolph Teague</v>
      </c>
      <c r="C33" s="134"/>
      <c r="D33" s="129"/>
      <c r="E33" s="130">
        <f>VLOOKUP(B33,CON!$C$52:$D$70,$E$1,FALSE)</f>
        <v>28</v>
      </c>
      <c r="F33" s="130"/>
      <c r="G33" s="134" t="s">
        <v>347</v>
      </c>
      <c r="H33" s="129" t="s">
        <v>347</v>
      </c>
      <c r="I33" s="129" t="s">
        <v>347</v>
      </c>
      <c r="J33" s="129" t="s">
        <v>347</v>
      </c>
      <c r="K33" s="100"/>
      <c r="L33" s="134"/>
      <c r="M33" s="140"/>
      <c r="N33" s="129"/>
      <c r="O33" s="129"/>
      <c r="P33" s="130"/>
      <c r="Q33" s="134"/>
      <c r="R33" s="140"/>
      <c r="S33" s="129"/>
      <c r="T33" s="129"/>
      <c r="U33" s="130"/>
      <c r="V33" s="100"/>
      <c r="W33" s="100"/>
    </row>
    <row r="34" spans="1:23">
      <c r="A34" s="100" t="s">
        <v>111</v>
      </c>
      <c r="B34" s="129" t="str">
        <f>CON!C57</f>
        <v>Nathan O'Reilly</v>
      </c>
      <c r="C34" s="134"/>
      <c r="D34" s="129"/>
      <c r="E34" s="130">
        <f>VLOOKUP(B34,CON!$C$52:$D$70,$E$1,FALSE)</f>
        <v>28</v>
      </c>
      <c r="F34" s="130"/>
      <c r="G34" s="134"/>
      <c r="H34" s="129"/>
      <c r="I34" s="129"/>
      <c r="J34" s="129"/>
      <c r="K34" s="100"/>
      <c r="L34" s="134"/>
      <c r="M34" s="140"/>
      <c r="N34" s="129"/>
      <c r="O34" s="129"/>
      <c r="P34" s="130"/>
      <c r="Q34" s="134"/>
      <c r="R34" s="140"/>
      <c r="S34" s="129"/>
      <c r="T34" s="129"/>
      <c r="U34" s="130"/>
      <c r="V34" s="100"/>
      <c r="W34" s="100"/>
    </row>
    <row r="35" spans="1:23">
      <c r="A35" s="100" t="s">
        <v>112</v>
      </c>
      <c r="B35" s="129" t="str">
        <f>CON!C61</f>
        <v>Conrad Shelton</v>
      </c>
      <c r="C35" s="134"/>
      <c r="D35" s="129"/>
      <c r="E35" s="130">
        <f>VLOOKUP(B35,CON!$C$52:$D$70,$E$1,FALSE)</f>
        <v>27</v>
      </c>
      <c r="F35" s="130"/>
      <c r="G35" s="182" t="s">
        <v>16</v>
      </c>
      <c r="H35" s="155" t="s">
        <v>16</v>
      </c>
      <c r="I35" s="155" t="s">
        <v>16</v>
      </c>
      <c r="J35" s="155" t="s">
        <v>16</v>
      </c>
      <c r="K35" s="207"/>
      <c r="L35" s="208"/>
      <c r="M35" s="209"/>
      <c r="N35" s="210"/>
      <c r="O35" s="210"/>
      <c r="P35" s="211"/>
      <c r="Q35" s="208"/>
      <c r="R35" s="212"/>
      <c r="S35" s="210"/>
      <c r="T35" s="210"/>
      <c r="U35" s="211"/>
      <c r="V35" s="207"/>
      <c r="W35" s="207"/>
    </row>
    <row r="36" spans="1:23">
      <c r="A36" s="100" t="s">
        <v>19</v>
      </c>
      <c r="B36" s="129" t="str">
        <f>CON!C62</f>
        <v>Alberto Flores</v>
      </c>
      <c r="C36" s="134"/>
      <c r="D36" s="129"/>
      <c r="E36" s="130">
        <f>VLOOKUP(B36,CON!$C$52:$D$70,$E$1,FALSE)</f>
        <v>28</v>
      </c>
      <c r="F36" s="130"/>
      <c r="G36" s="134"/>
      <c r="H36" s="129"/>
      <c r="I36" s="129"/>
      <c r="J36" s="129"/>
      <c r="K36" s="100"/>
      <c r="L36" s="134">
        <v>3</v>
      </c>
      <c r="M36" s="140" t="s">
        <v>533</v>
      </c>
      <c r="N36" s="129">
        <f t="shared" ref="N36" si="14">IF(M36="",0,LEN(M36)-LEN(SUBSTITUTE(M36,",",""))+1)</f>
        <v>2</v>
      </c>
      <c r="O36" s="129">
        <v>2</v>
      </c>
      <c r="P36" s="130">
        <f t="shared" si="10"/>
        <v>0</v>
      </c>
      <c r="Q36" s="134">
        <f t="shared" ref="Q36:Q38" si="15">L36</f>
        <v>3</v>
      </c>
      <c r="R36" s="140" t="s">
        <v>535</v>
      </c>
      <c r="S36" s="129">
        <f t="shared" ref="S36" si="16">IF(R36="",0,LEN(R36)-LEN(SUBSTITUTE(R36,",",""))+1)</f>
        <v>2</v>
      </c>
      <c r="T36" s="129">
        <v>2</v>
      </c>
      <c r="U36" s="130">
        <f t="shared" si="12"/>
        <v>0</v>
      </c>
      <c r="V36" s="100">
        <f t="shared" si="13"/>
        <v>0</v>
      </c>
      <c r="W36" s="100" t="s">
        <v>19</v>
      </c>
    </row>
    <row r="37" spans="1:23">
      <c r="A37" s="100" t="s">
        <v>19</v>
      </c>
      <c r="B37" s="129" t="str">
        <f>CON!C65</f>
        <v>Will Young</v>
      </c>
      <c r="C37" s="134"/>
      <c r="D37" s="129"/>
      <c r="E37" s="130">
        <f>VLOOKUP(B37,CON!$C$52:$D$70,$E$1,FALSE)</f>
        <v>25</v>
      </c>
      <c r="F37" s="130"/>
      <c r="G37" s="134"/>
      <c r="H37" s="129"/>
      <c r="I37" s="129"/>
      <c r="J37" s="129"/>
      <c r="K37" s="100"/>
      <c r="L37" s="134">
        <v>2</v>
      </c>
      <c r="M37" s="140" t="s">
        <v>532</v>
      </c>
      <c r="N37" s="129">
        <f>IF(M37="",0,LEN(M37)-LEN(SUBSTITUTE(M37,",",""))+1)+IF(P36&gt;0,P36,0)</f>
        <v>1</v>
      </c>
      <c r="O37" s="129">
        <v>1</v>
      </c>
      <c r="P37" s="130">
        <f t="shared" si="10"/>
        <v>0</v>
      </c>
      <c r="Q37" s="134">
        <f t="shared" si="15"/>
        <v>2</v>
      </c>
      <c r="R37" s="143" t="s">
        <v>537</v>
      </c>
      <c r="S37" s="129">
        <f>IF(R37="",0,LEN(R37)-LEN(SUBSTITUTE(R37,",",""))+1)+IF(U36&gt;0,U36,0)</f>
        <v>4</v>
      </c>
      <c r="T37" s="129">
        <v>1</v>
      </c>
      <c r="U37" s="130">
        <f t="shared" si="12"/>
        <v>3</v>
      </c>
      <c r="V37" s="100">
        <f t="shared" si="13"/>
        <v>0</v>
      </c>
      <c r="W37" s="100" t="s">
        <v>19</v>
      </c>
    </row>
    <row r="38" spans="1:23">
      <c r="A38" s="100" t="s">
        <v>19</v>
      </c>
      <c r="B38" s="129" t="str">
        <f>CON!C66</f>
        <v>Juan Trinidad</v>
      </c>
      <c r="C38" s="134"/>
      <c r="D38" s="129"/>
      <c r="E38" s="130">
        <f>VLOOKUP(B38,CON!$C$52:$D$70,$E$1,FALSE)</f>
        <v>27</v>
      </c>
      <c r="F38" s="130"/>
      <c r="G38" s="134"/>
      <c r="H38" s="129"/>
      <c r="I38" s="129"/>
      <c r="J38" s="129"/>
      <c r="K38" s="100"/>
      <c r="L38" s="134">
        <v>1</v>
      </c>
      <c r="M38" s="140" t="s">
        <v>530</v>
      </c>
      <c r="N38" s="129">
        <f>IF(M38="",0,LEN(M38)-LEN(SUBSTITUTE(M38,",",""))+1)+IF(P37&gt;0,P37,0)</f>
        <v>2</v>
      </c>
      <c r="O38" s="129">
        <v>3</v>
      </c>
      <c r="P38" s="130">
        <f t="shared" ref="P38" si="17">N38-O38</f>
        <v>-1</v>
      </c>
      <c r="Q38" s="134">
        <f t="shared" si="15"/>
        <v>1</v>
      </c>
      <c r="R38" s="143" t="s">
        <v>538</v>
      </c>
      <c r="S38" s="129">
        <f>IF(R38="",0,LEN(R38)-LEN(SUBSTITUTE(R38,",",""))+1)+IF(U37&gt;0,U37,0)</f>
        <v>4</v>
      </c>
      <c r="T38" s="129">
        <v>3</v>
      </c>
      <c r="U38" s="130">
        <f t="shared" ref="U38" si="18">S38-T38</f>
        <v>1</v>
      </c>
      <c r="V38" s="100">
        <f t="shared" ref="V38" si="19">MIN(P38,P38+U38)</f>
        <v>-1</v>
      </c>
      <c r="W38" s="100" t="s">
        <v>19</v>
      </c>
    </row>
    <row r="39" spans="1:23">
      <c r="A39" s="100" t="s">
        <v>19</v>
      </c>
      <c r="B39" s="129" t="str">
        <f>CON!C67</f>
        <v>Gerardo Soto</v>
      </c>
      <c r="C39" s="134"/>
      <c r="D39" s="129"/>
      <c r="E39" s="130">
        <f>VLOOKUP(B39,CON!$C$52:$D$70,$E$1,FALSE)</f>
        <v>23</v>
      </c>
      <c r="F39" s="130"/>
      <c r="G39" s="134"/>
      <c r="H39" s="129"/>
      <c r="I39" s="129"/>
      <c r="J39" s="129"/>
      <c r="K39" s="100"/>
      <c r="L39" s="134"/>
      <c r="M39" s="140"/>
      <c r="N39" s="129"/>
      <c r="O39" s="129"/>
      <c r="P39" s="130"/>
      <c r="Q39" s="134"/>
      <c r="R39" s="143"/>
      <c r="S39" s="129"/>
      <c r="T39" s="129"/>
      <c r="U39" s="130"/>
      <c r="V39" s="100"/>
      <c r="W39" s="100"/>
    </row>
    <row r="40" spans="1:23">
      <c r="A40" s="100" t="s">
        <v>19</v>
      </c>
      <c r="B40" s="129" t="str">
        <f>CON!C68</f>
        <v>David Gutiérrez</v>
      </c>
      <c r="C40" s="134"/>
      <c r="D40" s="129"/>
      <c r="E40" s="130">
        <f>VLOOKUP(B40,CON!$C$52:$D$70,$E$1,FALSE)</f>
        <v>29</v>
      </c>
      <c r="F40" s="130"/>
      <c r="G40" s="134"/>
      <c r="H40" s="129"/>
      <c r="I40" s="129"/>
      <c r="J40" s="129"/>
      <c r="K40" s="100"/>
      <c r="L40" s="134"/>
      <c r="M40" s="140"/>
      <c r="N40" s="129"/>
      <c r="O40" s="129"/>
      <c r="P40" s="130"/>
      <c r="Q40" s="134"/>
      <c r="R40" s="143"/>
      <c r="S40" s="129"/>
      <c r="T40" s="129"/>
      <c r="U40" s="130"/>
      <c r="V40" s="100"/>
      <c r="W40" s="100"/>
    </row>
    <row r="41" spans="1:23">
      <c r="A41" s="101" t="s">
        <v>19</v>
      </c>
      <c r="B41" s="131" t="str">
        <f>CON!C69</f>
        <v>Diego Rúbio</v>
      </c>
      <c r="C41" s="135"/>
      <c r="D41" s="131"/>
      <c r="E41" s="132">
        <f>VLOOKUP(B41,CON!$C$52:$D$70,$E$1,FALSE)</f>
        <v>23</v>
      </c>
      <c r="F41" s="132"/>
      <c r="G41" s="135"/>
      <c r="H41" s="131"/>
      <c r="I41" s="131"/>
      <c r="J41" s="131"/>
      <c r="K41" s="101"/>
      <c r="L41" s="135"/>
      <c r="M41" s="141"/>
      <c r="N41" s="131"/>
      <c r="O41" s="131"/>
      <c r="P41" s="132"/>
      <c r="Q41" s="135"/>
      <c r="R41" s="141"/>
      <c r="S41" s="131"/>
      <c r="T41" s="131"/>
      <c r="U41" s="132"/>
      <c r="V41" s="101"/>
      <c r="W41" s="101"/>
    </row>
    <row r="44" spans="1:23">
      <c r="L44" s="305" t="s">
        <v>372</v>
      </c>
      <c r="M44" s="306"/>
      <c r="N44" s="306"/>
      <c r="O44" s="306"/>
      <c r="P44" s="307"/>
      <c r="Q44" s="305" t="s">
        <v>374</v>
      </c>
      <c r="R44" s="306"/>
      <c r="S44" s="306"/>
      <c r="T44" s="306"/>
      <c r="U44" s="307"/>
      <c r="V44" s="125" t="s">
        <v>265</v>
      </c>
    </row>
    <row r="45" spans="1:23">
      <c r="K45" s="124" t="s">
        <v>122</v>
      </c>
      <c r="L45" s="133" t="s">
        <v>368</v>
      </c>
      <c r="M45" s="139" t="s">
        <v>253</v>
      </c>
      <c r="N45" s="126" t="s">
        <v>254</v>
      </c>
      <c r="O45" s="126" t="s">
        <v>255</v>
      </c>
      <c r="P45" s="127" t="s">
        <v>257</v>
      </c>
      <c r="Q45" s="133" t="s">
        <v>368</v>
      </c>
      <c r="R45" s="139" t="s">
        <v>253</v>
      </c>
      <c r="S45" s="126" t="s">
        <v>254</v>
      </c>
      <c r="T45" s="126" t="s">
        <v>255</v>
      </c>
      <c r="U45" s="127" t="s">
        <v>256</v>
      </c>
      <c r="V45" s="128" t="s">
        <v>257</v>
      </c>
      <c r="W45" s="124" t="s">
        <v>122</v>
      </c>
    </row>
    <row r="46" spans="1:23">
      <c r="K46" s="100" t="s">
        <v>111</v>
      </c>
      <c r="L46" s="134">
        <f>L30</f>
        <v>8</v>
      </c>
      <c r="M46" s="140" t="s">
        <v>548</v>
      </c>
      <c r="N46" s="129">
        <f>IF(M46="",0,LEN(M46)-LEN(SUBSTITUTE(M46,",",""))+1)</f>
        <v>3</v>
      </c>
      <c r="O46" s="129">
        <v>2</v>
      </c>
      <c r="P46" s="130">
        <f>N46-O46</f>
        <v>1</v>
      </c>
      <c r="Q46" s="134">
        <f t="shared" ref="Q46:Q48" si="20">L46</f>
        <v>8</v>
      </c>
      <c r="R46" s="140" t="s">
        <v>539</v>
      </c>
      <c r="S46" s="129">
        <f>IF(R46="",0,LEN(R46)-LEN(SUBSTITUTE(R46,",",""))+1)</f>
        <v>4</v>
      </c>
      <c r="T46" s="129">
        <v>2</v>
      </c>
      <c r="U46" s="130">
        <f>S46-T46</f>
        <v>2</v>
      </c>
      <c r="V46" s="100">
        <f>MIN(P46,P46+U46)</f>
        <v>1</v>
      </c>
      <c r="W46" s="100" t="s">
        <v>111</v>
      </c>
    </row>
    <row r="47" spans="1:23">
      <c r="K47" s="100" t="s">
        <v>111</v>
      </c>
      <c r="L47" s="134">
        <f t="shared" ref="L47:L48" si="21">L31</f>
        <v>7</v>
      </c>
      <c r="M47" s="140" t="s">
        <v>547</v>
      </c>
      <c r="N47" s="129">
        <f>IF(M47="",0,LEN(M47)-LEN(SUBSTITUTE(M47,",",""))+1)+IF(P46&gt;0,P46,0)</f>
        <v>4</v>
      </c>
      <c r="O47" s="129">
        <v>1</v>
      </c>
      <c r="P47" s="130">
        <f t="shared" ref="P47:P48" si="22">N47-O47</f>
        <v>3</v>
      </c>
      <c r="Q47" s="134">
        <f t="shared" si="20"/>
        <v>7</v>
      </c>
      <c r="R47" s="140" t="s">
        <v>540</v>
      </c>
      <c r="S47" s="129">
        <f>IF(R47="",0,LEN(R47)-LEN(SUBSTITUTE(R47,",",""))+1)+IF(U46&gt;0,U46,0)</f>
        <v>3</v>
      </c>
      <c r="T47" s="129">
        <v>1</v>
      </c>
      <c r="U47" s="130">
        <f t="shared" ref="U47:U48" si="23">S47-T47</f>
        <v>2</v>
      </c>
      <c r="V47" s="100">
        <f t="shared" ref="V47:V48" si="24">MIN(P47,P47+U47)</f>
        <v>3</v>
      </c>
      <c r="W47" s="100" t="s">
        <v>111</v>
      </c>
    </row>
    <row r="48" spans="1:23">
      <c r="K48" s="100" t="s">
        <v>111</v>
      </c>
      <c r="L48" s="134">
        <f t="shared" si="21"/>
        <v>6</v>
      </c>
      <c r="M48" s="140"/>
      <c r="N48" s="129">
        <f>IF(M48="",0,LEN(M48)-LEN(SUBSTITUTE(M48,",",""))+1)+IF(P47&gt;0,P47,0)</f>
        <v>3</v>
      </c>
      <c r="O48" s="129">
        <v>3</v>
      </c>
      <c r="P48" s="130">
        <f t="shared" si="22"/>
        <v>0</v>
      </c>
      <c r="Q48" s="134">
        <f t="shared" si="20"/>
        <v>6</v>
      </c>
      <c r="R48" s="140" t="s">
        <v>541</v>
      </c>
      <c r="S48" s="129">
        <f>IF(R48="",0,LEN(R48)-LEN(SUBSTITUTE(R48,",",""))+1)+IF(U47&gt;0,U47,0)</f>
        <v>3</v>
      </c>
      <c r="T48" s="129">
        <v>3</v>
      </c>
      <c r="U48" s="130">
        <f t="shared" si="23"/>
        <v>0</v>
      </c>
      <c r="V48" s="100">
        <f t="shared" si="24"/>
        <v>0</v>
      </c>
      <c r="W48" s="100" t="s">
        <v>111</v>
      </c>
    </row>
    <row r="49" spans="11:23">
      <c r="K49" s="100" t="s">
        <v>111</v>
      </c>
      <c r="L49" s="134"/>
      <c r="M49" s="140"/>
      <c r="N49" s="129"/>
      <c r="O49" s="129"/>
      <c r="P49" s="130"/>
      <c r="Q49" s="134"/>
      <c r="R49" s="140"/>
      <c r="S49" s="129"/>
      <c r="T49" s="129"/>
      <c r="U49" s="130"/>
      <c r="V49" s="100"/>
      <c r="W49" s="100"/>
    </row>
    <row r="50" spans="11:23">
      <c r="K50" s="100" t="s">
        <v>111</v>
      </c>
      <c r="L50" s="134"/>
      <c r="M50" s="140"/>
      <c r="N50" s="129"/>
      <c r="O50" s="129"/>
      <c r="P50" s="130"/>
      <c r="Q50" s="134"/>
      <c r="R50" s="140"/>
      <c r="S50" s="129"/>
      <c r="T50" s="129"/>
      <c r="U50" s="130"/>
      <c r="V50" s="100"/>
      <c r="W50" s="100"/>
    </row>
    <row r="51" spans="11:23">
      <c r="K51" s="207" t="s">
        <v>112</v>
      </c>
      <c r="L51" s="208"/>
      <c r="M51" s="209"/>
      <c r="N51" s="210"/>
      <c r="O51" s="210"/>
      <c r="P51" s="211"/>
      <c r="Q51" s="208"/>
      <c r="R51" s="212"/>
      <c r="S51" s="210"/>
      <c r="T51" s="210"/>
      <c r="U51" s="211"/>
      <c r="V51" s="207"/>
      <c r="W51" s="207"/>
    </row>
    <row r="52" spans="11:23">
      <c r="K52" s="100" t="s">
        <v>19</v>
      </c>
      <c r="L52" s="134">
        <f t="shared" ref="L52:L54" si="25">L36</f>
        <v>3</v>
      </c>
      <c r="M52" s="140"/>
      <c r="N52" s="129">
        <f t="shared" ref="N52" si="26">IF(M52="",0,LEN(M52)-LEN(SUBSTITUTE(M52,",",""))+1)</f>
        <v>0</v>
      </c>
      <c r="O52" s="129">
        <v>2</v>
      </c>
      <c r="P52" s="130">
        <f t="shared" ref="P52:P54" si="27">N52-O52</f>
        <v>-2</v>
      </c>
      <c r="Q52" s="134">
        <f t="shared" ref="Q52:Q54" si="28">L52</f>
        <v>3</v>
      </c>
      <c r="R52" s="140" t="s">
        <v>542</v>
      </c>
      <c r="S52" s="129">
        <f t="shared" ref="S52" si="29">IF(R52="",0,LEN(R52)-LEN(SUBSTITUTE(R52,",",""))+1)</f>
        <v>6</v>
      </c>
      <c r="T52" s="129">
        <v>2</v>
      </c>
      <c r="U52" s="130">
        <f t="shared" ref="U52:U54" si="30">S52-T52</f>
        <v>4</v>
      </c>
      <c r="V52" s="100">
        <f t="shared" ref="V52:V54" si="31">MIN(P52,P52+U52)</f>
        <v>-2</v>
      </c>
      <c r="W52" s="100" t="s">
        <v>19</v>
      </c>
    </row>
    <row r="53" spans="11:23">
      <c r="K53" s="100" t="s">
        <v>19</v>
      </c>
      <c r="L53" s="134">
        <f t="shared" si="25"/>
        <v>2</v>
      </c>
      <c r="M53" s="140" t="s">
        <v>546</v>
      </c>
      <c r="N53" s="129">
        <f>IF(M53="",0,LEN(M53)-LEN(SUBSTITUTE(M53,",",""))+1)+IF(P52&gt;0,P52,0)</f>
        <v>2</v>
      </c>
      <c r="O53" s="129">
        <v>1</v>
      </c>
      <c r="P53" s="130">
        <f t="shared" si="27"/>
        <v>1</v>
      </c>
      <c r="Q53" s="134">
        <f t="shared" si="28"/>
        <v>2</v>
      </c>
      <c r="R53" s="143" t="s">
        <v>543</v>
      </c>
      <c r="S53" s="129">
        <f>IF(R53="",0,LEN(R53)-LEN(SUBSTITUTE(R53,",",""))+1)+IF(U52&gt;0,U52,0)</f>
        <v>6</v>
      </c>
      <c r="T53" s="129">
        <v>1</v>
      </c>
      <c r="U53" s="130">
        <f t="shared" si="30"/>
        <v>5</v>
      </c>
      <c r="V53" s="100">
        <f t="shared" si="31"/>
        <v>1</v>
      </c>
      <c r="W53" s="100" t="s">
        <v>19</v>
      </c>
    </row>
    <row r="54" spans="11:23">
      <c r="K54" s="100" t="s">
        <v>19</v>
      </c>
      <c r="L54" s="134">
        <f t="shared" si="25"/>
        <v>1</v>
      </c>
      <c r="M54" s="140" t="s">
        <v>545</v>
      </c>
      <c r="N54" s="129">
        <f>IF(M54="",0,LEN(M54)-LEN(SUBSTITUTE(M54,",",""))+1)+IF(P53&gt;0,P53,0)</f>
        <v>4</v>
      </c>
      <c r="O54" s="129">
        <v>3</v>
      </c>
      <c r="P54" s="130">
        <f t="shared" si="27"/>
        <v>1</v>
      </c>
      <c r="Q54" s="134">
        <f t="shared" si="28"/>
        <v>1</v>
      </c>
      <c r="R54" s="143" t="s">
        <v>544</v>
      </c>
      <c r="S54" s="129">
        <f>IF(R54="",0,LEN(R54)-LEN(SUBSTITUTE(R54,",",""))+1)+IF(U53&gt;0,U53,0)</f>
        <v>6</v>
      </c>
      <c r="T54" s="129">
        <v>3</v>
      </c>
      <c r="U54" s="130">
        <f t="shared" si="30"/>
        <v>3</v>
      </c>
      <c r="V54" s="100">
        <f t="shared" si="31"/>
        <v>1</v>
      </c>
      <c r="W54" s="100" t="s">
        <v>19</v>
      </c>
    </row>
    <row r="55" spans="11:23">
      <c r="K55" s="100" t="s">
        <v>19</v>
      </c>
      <c r="L55" s="134"/>
      <c r="M55" s="140"/>
      <c r="N55" s="129"/>
      <c r="O55" s="129"/>
      <c r="P55" s="130"/>
      <c r="Q55" s="134"/>
      <c r="R55" s="143"/>
      <c r="S55" s="129"/>
      <c r="T55" s="129"/>
      <c r="U55" s="130"/>
      <c r="V55" s="100"/>
      <c r="W55" s="100"/>
    </row>
    <row r="56" spans="11:23">
      <c r="K56" s="100" t="s">
        <v>19</v>
      </c>
      <c r="L56" s="134"/>
      <c r="M56" s="140"/>
      <c r="N56" s="129"/>
      <c r="O56" s="129"/>
      <c r="P56" s="130"/>
      <c r="Q56" s="134"/>
      <c r="R56" s="143"/>
      <c r="S56" s="129"/>
      <c r="T56" s="129"/>
      <c r="U56" s="130"/>
      <c r="V56" s="100"/>
      <c r="W56" s="100"/>
    </row>
    <row r="57" spans="11:23">
      <c r="K57" s="101" t="s">
        <v>19</v>
      </c>
      <c r="L57" s="135"/>
      <c r="M57" s="141"/>
      <c r="N57" s="131"/>
      <c r="O57" s="131"/>
      <c r="P57" s="132"/>
      <c r="Q57" s="135"/>
      <c r="R57" s="141"/>
      <c r="S57" s="131"/>
      <c r="T57" s="131"/>
      <c r="U57" s="132"/>
      <c r="V57" s="101"/>
      <c r="W57" s="101"/>
    </row>
  </sheetData>
  <mergeCells count="8">
    <mergeCell ref="L44:P44"/>
    <mergeCell ref="Q44:U44"/>
    <mergeCell ref="L2:P2"/>
    <mergeCell ref="Q2:U2"/>
    <mergeCell ref="L15:P15"/>
    <mergeCell ref="Q15:U15"/>
    <mergeCell ref="L28:P28"/>
    <mergeCell ref="Q28:U28"/>
  </mergeCells>
  <conditionalFormatting sqref="M4:M12 M30:M41 R30:R41 R17:R25 R4:R12 M46:M57 R46:R57 M17:M25">
    <cfRule type="expression" dxfId="127" priority="1">
      <formula>IF(P4&gt;0,1,0)</formula>
    </cfRule>
    <cfRule type="expression" dxfId="126" priority="2">
      <formula>IF(P4&lt;0,1,0)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 codeName="Sheet5" enableFormatConditionsCalculation="0">
    <tabColor theme="9"/>
  </sheetPr>
  <dimension ref="A1:CN197"/>
  <sheetViews>
    <sheetView tabSelected="1" zoomScale="85" zoomScaleNormal="85" workbookViewId="0">
      <pane xSplit="14" ySplit="10" topLeftCell="BM11" activePane="bottomRight" state="frozenSplit"/>
      <selection pane="topRight" activeCell="H1" sqref="H1"/>
      <selection pane="bottomLeft"/>
      <selection pane="bottomRight" activeCell="B9" sqref="B9"/>
    </sheetView>
  </sheetViews>
  <sheetFormatPr defaultColWidth="11.42578125" defaultRowHeight="15"/>
  <cols>
    <col min="1" max="1" width="6.140625" style="27" bestFit="1" customWidth="1"/>
    <col min="2" max="2" width="6.7109375" style="27" bestFit="1" customWidth="1"/>
    <col min="3" max="3" width="6.85546875" bestFit="1" customWidth="1"/>
    <col min="4" max="4" width="7.140625" bestFit="1" customWidth="1"/>
    <col min="5" max="5" width="6.5703125" bestFit="1" customWidth="1"/>
    <col min="6" max="6" width="7.140625" bestFit="1" customWidth="1"/>
    <col min="7" max="7" width="22.5703125" customWidth="1"/>
    <col min="8" max="8" width="6.5703125" bestFit="1" customWidth="1"/>
    <col min="9" max="9" width="6.7109375" bestFit="1" customWidth="1"/>
    <col min="10" max="10" width="7" bestFit="1" customWidth="1"/>
    <col min="11" max="11" width="5" bestFit="1" customWidth="1"/>
    <col min="12" max="12" width="4.85546875" bestFit="1" customWidth="1"/>
    <col min="13" max="13" width="7.5703125" bestFit="1" customWidth="1"/>
    <col min="14" max="14" width="7.140625" style="3" bestFit="1" customWidth="1"/>
    <col min="15" max="15" width="9.7109375" bestFit="1" customWidth="1"/>
    <col min="16" max="16" width="9.7109375" style="3" bestFit="1" customWidth="1"/>
    <col min="17" max="17" width="7.5703125" bestFit="1" customWidth="1"/>
    <col min="18" max="18" width="7.42578125" bestFit="1" customWidth="1"/>
    <col min="19" max="19" width="8" bestFit="1" customWidth="1"/>
    <col min="20" max="20" width="6.85546875" bestFit="1" customWidth="1"/>
    <col min="21" max="21" width="6.42578125" style="3" bestFit="1" customWidth="1"/>
    <col min="22" max="22" width="9" bestFit="1" customWidth="1"/>
    <col min="23" max="23" width="8.85546875" bestFit="1" customWidth="1"/>
    <col min="24" max="24" width="9.5703125" bestFit="1" customWidth="1"/>
    <col min="25" max="25" width="8.42578125" bestFit="1" customWidth="1"/>
    <col min="26" max="26" width="6.5703125" style="3" bestFit="1" customWidth="1"/>
    <col min="27" max="27" width="9.85546875" bestFit="1" customWidth="1"/>
    <col min="28" max="28" width="10.7109375" bestFit="1" customWidth="1"/>
    <col min="29" max="29" width="9.42578125" bestFit="1" customWidth="1"/>
    <col min="30" max="30" width="4.85546875" bestFit="1" customWidth="1"/>
    <col min="31" max="33" width="6" bestFit="1" customWidth="1"/>
    <col min="34" max="34" width="5.85546875" bestFit="1" customWidth="1"/>
    <col min="35" max="35" width="5.7109375" bestFit="1" customWidth="1"/>
    <col min="36" max="36" width="5.85546875" bestFit="1" customWidth="1"/>
    <col min="37" max="37" width="6" style="3" bestFit="1" customWidth="1"/>
    <col min="38" max="39" width="6.85546875" bestFit="1" customWidth="1"/>
    <col min="40" max="40" width="7.7109375" style="3" bestFit="1" customWidth="1"/>
    <col min="41" max="41" width="12.5703125" bestFit="1" customWidth="1"/>
    <col min="42" max="42" width="9.5703125" style="3" bestFit="1" customWidth="1"/>
    <col min="43" max="43" width="9.28515625" bestFit="1" customWidth="1"/>
    <col min="44" max="44" width="9" style="5" bestFit="1" customWidth="1"/>
    <col min="45" max="45" width="8.85546875" bestFit="1" customWidth="1"/>
    <col min="46" max="46" width="9" bestFit="1" customWidth="1"/>
    <col min="47" max="47" width="4.7109375" bestFit="1" customWidth="1"/>
    <col min="48" max="48" width="9" bestFit="1" customWidth="1"/>
    <col min="49" max="49" width="4.140625" style="53" bestFit="1" customWidth="1"/>
    <col min="50" max="56" width="4.140625" style="5" bestFit="1" customWidth="1"/>
    <col min="57" max="57" width="4.140625" style="3" bestFit="1" customWidth="1"/>
    <col min="58" max="58" width="3.85546875" style="53" bestFit="1" customWidth="1"/>
    <col min="59" max="65" width="3.85546875" style="5" bestFit="1" customWidth="1"/>
    <col min="66" max="66" width="3.85546875" style="3" bestFit="1" customWidth="1"/>
    <col min="67" max="67" width="3.42578125" bestFit="1" customWidth="1"/>
    <col min="68" max="69" width="4.28515625" bestFit="1" customWidth="1"/>
    <col min="70" max="70" width="10.5703125" style="106" bestFit="1" customWidth="1"/>
    <col min="71" max="72" width="6.7109375" style="91" bestFit="1" customWidth="1"/>
    <col min="73" max="73" width="11.42578125" style="91"/>
    <col min="74" max="74" width="8.85546875" style="91" bestFit="1" customWidth="1"/>
    <col min="75" max="75" width="9.140625" style="91" bestFit="1" customWidth="1"/>
    <col min="76" max="77" width="8.7109375" style="91" bestFit="1" customWidth="1"/>
    <col min="78" max="78" width="8.85546875" style="91" bestFit="1" customWidth="1"/>
    <col min="79" max="79" width="4.28515625" style="91" bestFit="1" customWidth="1"/>
    <col min="80" max="80" width="5.42578125" style="91" bestFit="1" customWidth="1"/>
    <col min="81" max="81" width="4.42578125" style="91" bestFit="1" customWidth="1"/>
    <col min="82" max="82" width="4.28515625" style="91" bestFit="1" customWidth="1"/>
    <col min="83" max="83" width="10.28515625" style="91" customWidth="1"/>
    <col min="84" max="84" width="4.85546875" style="324" bestFit="1" customWidth="1"/>
    <col min="85" max="87" width="6" style="324" bestFit="1" customWidth="1"/>
    <col min="88" max="88" width="5.85546875" style="324" bestFit="1" customWidth="1"/>
    <col min="89" max="89" width="5.7109375" style="324" bestFit="1" customWidth="1"/>
    <col min="90" max="90" width="5.85546875" style="324" bestFit="1" customWidth="1"/>
    <col min="91" max="91" width="6" style="324" bestFit="1" customWidth="1"/>
    <col min="92" max="92" width="6.5703125" style="324" bestFit="1" customWidth="1"/>
    <col min="93" max="16384" width="11.42578125" style="91"/>
  </cols>
  <sheetData>
    <row r="1" spans="1:92" s="96" customFormat="1">
      <c r="A1" s="72"/>
      <c r="B1" s="72" t="s">
        <v>104</v>
      </c>
      <c r="C1" s="5" t="s">
        <v>149</v>
      </c>
      <c r="D1" s="5"/>
      <c r="E1" s="5" t="s">
        <v>222</v>
      </c>
      <c r="F1" s="5" t="s">
        <v>223</v>
      </c>
      <c r="G1" s="5" t="s">
        <v>224</v>
      </c>
      <c r="H1" s="21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110"/>
      <c r="CF1" s="323"/>
      <c r="CG1" s="323"/>
      <c r="CH1" s="323"/>
      <c r="CI1" s="323"/>
      <c r="CJ1" s="323"/>
      <c r="CK1" s="323"/>
      <c r="CL1" s="323"/>
      <c r="CM1" s="323"/>
      <c r="CN1" s="323"/>
    </row>
    <row r="2" spans="1:92" s="96" customFormat="1">
      <c r="A2" s="72" t="s">
        <v>212</v>
      </c>
      <c r="B2" s="72">
        <f>COUNTIF($A$11:$A$202,A2)</f>
        <v>13</v>
      </c>
      <c r="C2" s="96">
        <f>VLOOKUP($A2,CTPit!$A$2:$B$8,2,FALSE)</f>
        <v>12</v>
      </c>
      <c r="D2" s="5">
        <v>25</v>
      </c>
      <c r="E2" s="116">
        <f>B2/$D2</f>
        <v>0.52</v>
      </c>
      <c r="F2" s="116">
        <f>C2/$D2</f>
        <v>0.48</v>
      </c>
      <c r="G2" s="115">
        <f>(B2+C2)/$D2</f>
        <v>1</v>
      </c>
      <c r="H2" s="115"/>
      <c r="I2" s="11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110"/>
      <c r="CF2" s="323"/>
      <c r="CG2" s="323"/>
      <c r="CH2" s="323"/>
      <c r="CI2" s="323"/>
      <c r="CJ2" s="323"/>
      <c r="CK2" s="323"/>
      <c r="CL2" s="323"/>
      <c r="CM2" s="323"/>
      <c r="CN2" s="323"/>
    </row>
    <row r="3" spans="1:92" s="96" customFormat="1">
      <c r="A3" s="72" t="s">
        <v>213</v>
      </c>
      <c r="B3" s="72">
        <f>COUNTIF($A$11:$A$202,A3)</f>
        <v>14</v>
      </c>
      <c r="C3" s="96">
        <f>VLOOKUP($A3,CTPit!$A$2:$B$8,2,FALSE)</f>
        <v>12</v>
      </c>
      <c r="D3" s="5">
        <v>25</v>
      </c>
      <c r="E3" s="116">
        <f t="shared" ref="E3:E8" si="0">B3/$D3</f>
        <v>0.56000000000000005</v>
      </c>
      <c r="F3" s="116">
        <f t="shared" ref="F3:F8" si="1">C3/$D3</f>
        <v>0.48</v>
      </c>
      <c r="G3" s="115">
        <f t="shared" ref="G3:G8" si="2">(B3+C3)/$D3</f>
        <v>1.04</v>
      </c>
      <c r="H3" s="115"/>
      <c r="I3" s="11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110"/>
      <c r="CF3" s="323"/>
      <c r="CG3" s="323"/>
      <c r="CH3" s="323"/>
      <c r="CI3" s="323"/>
      <c r="CJ3" s="323"/>
      <c r="CK3" s="323"/>
      <c r="CL3" s="323"/>
      <c r="CM3" s="323"/>
      <c r="CN3" s="323"/>
    </row>
    <row r="4" spans="1:92" s="96" customFormat="1">
      <c r="A4" s="72" t="s">
        <v>214</v>
      </c>
      <c r="B4" s="72">
        <f>COUNTIF($A$11:$A$202,A4)</f>
        <v>16</v>
      </c>
      <c r="C4" s="96">
        <f>VLOOKUP($A4,CTPit!$A$2:$B$8,2,FALSE)</f>
        <v>15</v>
      </c>
      <c r="D4" s="5">
        <v>25</v>
      </c>
      <c r="E4" s="116">
        <f t="shared" si="0"/>
        <v>0.64</v>
      </c>
      <c r="F4" s="116">
        <f t="shared" si="1"/>
        <v>0.6</v>
      </c>
      <c r="G4" s="115">
        <f t="shared" si="2"/>
        <v>1.24</v>
      </c>
      <c r="H4" s="115"/>
      <c r="I4" s="11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110"/>
      <c r="CF4" s="323"/>
      <c r="CG4" s="323"/>
      <c r="CH4" s="323"/>
      <c r="CI4" s="323"/>
      <c r="CJ4" s="323"/>
      <c r="CK4" s="323"/>
      <c r="CL4" s="323"/>
      <c r="CM4" s="323"/>
      <c r="CN4" s="323"/>
    </row>
    <row r="5" spans="1:92" s="96" customFormat="1">
      <c r="A5" s="72" t="s">
        <v>215</v>
      </c>
      <c r="B5" s="72">
        <f>COUNTIF($A$11:$A$202,A5)</f>
        <v>14</v>
      </c>
      <c r="C5" s="96">
        <f>VLOOKUP($A5,CTPit!$A$2:$B$8,2,FALSE)</f>
        <v>13</v>
      </c>
      <c r="D5" s="5">
        <v>25</v>
      </c>
      <c r="E5" s="116">
        <f t="shared" si="0"/>
        <v>0.56000000000000005</v>
      </c>
      <c r="F5" s="116">
        <f t="shared" si="1"/>
        <v>0.52</v>
      </c>
      <c r="G5" s="115">
        <f t="shared" si="2"/>
        <v>1.08</v>
      </c>
      <c r="H5" s="115"/>
      <c r="I5" s="11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110"/>
      <c r="CF5" s="323"/>
      <c r="CG5" s="323"/>
      <c r="CH5" s="323"/>
      <c r="CI5" s="323"/>
      <c r="CJ5" s="323"/>
      <c r="CK5" s="323"/>
      <c r="CL5" s="323"/>
      <c r="CM5" s="323"/>
      <c r="CN5" s="323"/>
    </row>
    <row r="6" spans="1:92" s="96" customFormat="1">
      <c r="A6" s="72" t="s">
        <v>327</v>
      </c>
      <c r="B6" s="72">
        <f>COUNTIF($A$11:$A$202,A6)</f>
        <v>21</v>
      </c>
      <c r="C6" s="96">
        <f>VLOOKUP($A6,CTPit!$A$2:$B$8,2,FALSE)</f>
        <v>16</v>
      </c>
      <c r="D6" s="5">
        <v>35</v>
      </c>
      <c r="E6" s="116">
        <f t="shared" si="0"/>
        <v>0.6</v>
      </c>
      <c r="F6" s="116">
        <f t="shared" si="1"/>
        <v>0.45714285714285713</v>
      </c>
      <c r="G6" s="115">
        <f t="shared" si="2"/>
        <v>1.0571428571428572</v>
      </c>
      <c r="H6" s="115"/>
      <c r="I6" s="11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110"/>
      <c r="CF6" s="323"/>
      <c r="CG6" s="323"/>
      <c r="CH6" s="323"/>
      <c r="CI6" s="323"/>
      <c r="CJ6" s="323"/>
      <c r="CK6" s="323"/>
      <c r="CL6" s="323"/>
      <c r="CM6" s="323"/>
      <c r="CN6" s="323"/>
    </row>
    <row r="7" spans="1:92" s="96" customFormat="1">
      <c r="A7" s="72" t="s">
        <v>220</v>
      </c>
      <c r="B7" s="72">
        <f>COUNTBLANK($A$11:$A$202)-COUNTBLANK($G$11:$G$202)</f>
        <v>0</v>
      </c>
      <c r="C7" s="96">
        <f>VLOOKUP($A7,CTPit!$A$2:$B$8,2,FALSE)</f>
        <v>1</v>
      </c>
      <c r="D7" s="5"/>
      <c r="E7" s="116"/>
      <c r="F7" s="116"/>
      <c r="G7" s="115"/>
      <c r="H7" s="115"/>
      <c r="I7" s="11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110"/>
      <c r="CF7" s="323"/>
      <c r="CG7" s="323"/>
      <c r="CH7" s="323"/>
      <c r="CI7" s="323"/>
      <c r="CJ7" s="323"/>
      <c r="CK7" s="323"/>
      <c r="CL7" s="323"/>
      <c r="CM7" s="323"/>
      <c r="CN7" s="323"/>
    </row>
    <row r="8" spans="1:92" s="96" customFormat="1">
      <c r="A8" s="72" t="s">
        <v>221</v>
      </c>
      <c r="B8" s="72">
        <f>SUM(B2:B7)</f>
        <v>78</v>
      </c>
      <c r="C8" s="5">
        <f>SUM(C2:C7)</f>
        <v>69</v>
      </c>
      <c r="D8" s="5">
        <f>SUM(D2:D7)</f>
        <v>135</v>
      </c>
      <c r="E8" s="116">
        <f t="shared" si="0"/>
        <v>0.57777777777777772</v>
      </c>
      <c r="F8" s="116">
        <f t="shared" si="1"/>
        <v>0.51111111111111107</v>
      </c>
      <c r="G8" s="115">
        <f t="shared" si="2"/>
        <v>1.0888888888888888</v>
      </c>
      <c r="H8" s="115"/>
      <c r="I8" s="11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110"/>
      <c r="CF8" s="323"/>
      <c r="CG8" s="323"/>
      <c r="CH8" s="323"/>
      <c r="CI8" s="323"/>
      <c r="CJ8" s="323"/>
      <c r="CK8" s="323"/>
      <c r="CL8" s="323"/>
      <c r="CM8" s="323"/>
      <c r="CN8" s="323"/>
    </row>
    <row r="9" spans="1:92" s="96" customFormat="1">
      <c r="A9" s="72"/>
      <c r="B9" s="72"/>
      <c r="C9" s="5"/>
      <c r="D9" s="5"/>
      <c r="E9" s="5"/>
      <c r="F9" s="5"/>
      <c r="G9" s="5"/>
      <c r="H9" s="215"/>
      <c r="I9" s="5"/>
      <c r="J9" s="5"/>
      <c r="K9" s="5"/>
      <c r="L9" s="5"/>
      <c r="M9" s="5"/>
      <c r="N9" s="5"/>
      <c r="O9" s="5"/>
      <c r="P9" s="5"/>
      <c r="Q9" s="5">
        <v>8</v>
      </c>
      <c r="R9" s="5">
        <v>3</v>
      </c>
      <c r="S9" s="5">
        <v>7</v>
      </c>
      <c r="T9" s="5">
        <v>6</v>
      </c>
      <c r="U9" s="96">
        <v>1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110"/>
      <c r="CF9" s="323">
        <f>COUNTIF(CF11:CF92,"X")</f>
        <v>13</v>
      </c>
      <c r="CG9" s="323">
        <f>COUNTIF(CG11:CG92,"X")</f>
        <v>20</v>
      </c>
      <c r="CH9" s="323">
        <f>COUNTIF(CH11:CH92,"X")</f>
        <v>14</v>
      </c>
      <c r="CI9" s="323">
        <f>COUNTIF(CI11:CI92,"X")</f>
        <v>13</v>
      </c>
      <c r="CJ9" s="323">
        <f>COUNTIF(CJ11:CJ92,"X")</f>
        <v>9</v>
      </c>
      <c r="CK9" s="323">
        <f>COUNTIF(CK11:CK92,"X")</f>
        <v>30</v>
      </c>
      <c r="CL9" s="323">
        <f>COUNTIF(CL11:CL92,"X")</f>
        <v>11</v>
      </c>
      <c r="CM9" s="323">
        <f>COUNTIF(CM11:CM92,"X")</f>
        <v>10</v>
      </c>
      <c r="CN9" s="323">
        <f>COUNTIF(CN11:CN92,"X")</f>
        <v>14</v>
      </c>
    </row>
    <row r="10" spans="1:92" s="105" customFormat="1">
      <c r="A10" s="121" t="s">
        <v>211</v>
      </c>
      <c r="B10" s="121" t="s">
        <v>122</v>
      </c>
      <c r="C10" s="4" t="s">
        <v>182</v>
      </c>
      <c r="D10" s="4" t="s">
        <v>183</v>
      </c>
      <c r="E10" s="4" t="s">
        <v>117</v>
      </c>
      <c r="F10" s="4" t="s">
        <v>114</v>
      </c>
      <c r="G10" s="4" t="s">
        <v>20</v>
      </c>
      <c r="H10" s="4" t="s">
        <v>388</v>
      </c>
      <c r="I10" s="4" t="s">
        <v>324</v>
      </c>
      <c r="J10" s="4" t="s">
        <v>94</v>
      </c>
      <c r="K10" s="4" t="s">
        <v>104</v>
      </c>
      <c r="L10" s="4" t="s">
        <v>105</v>
      </c>
      <c r="M10" s="4" t="s">
        <v>21</v>
      </c>
      <c r="N10" s="2" t="s">
        <v>22</v>
      </c>
      <c r="O10" s="4" t="s">
        <v>23</v>
      </c>
      <c r="P10" s="2" t="s">
        <v>24</v>
      </c>
      <c r="Q10" s="4" t="s">
        <v>25</v>
      </c>
      <c r="R10" s="4" t="s">
        <v>26</v>
      </c>
      <c r="S10" s="4" t="s">
        <v>27</v>
      </c>
      <c r="T10" s="4" t="s">
        <v>28</v>
      </c>
      <c r="U10" s="2" t="s">
        <v>29</v>
      </c>
      <c r="V10" s="4" t="s">
        <v>30</v>
      </c>
      <c r="W10" s="4" t="s">
        <v>31</v>
      </c>
      <c r="X10" s="4" t="s">
        <v>32</v>
      </c>
      <c r="Y10" s="4" t="s">
        <v>33</v>
      </c>
      <c r="Z10" s="2" t="s">
        <v>34</v>
      </c>
      <c r="AA10" s="4" t="s">
        <v>205</v>
      </c>
      <c r="AB10" s="4" t="s">
        <v>325</v>
      </c>
      <c r="AC10" s="4" t="s">
        <v>326</v>
      </c>
      <c r="AD10" s="4" t="s">
        <v>95</v>
      </c>
      <c r="AE10" s="4" t="s">
        <v>97</v>
      </c>
      <c r="AF10" s="4" t="s">
        <v>98</v>
      </c>
      <c r="AG10" s="4" t="s">
        <v>99</v>
      </c>
      <c r="AH10" s="4" t="s">
        <v>100</v>
      </c>
      <c r="AI10" s="4" t="s">
        <v>101</v>
      </c>
      <c r="AJ10" s="4" t="s">
        <v>102</v>
      </c>
      <c r="AK10" s="2" t="s">
        <v>103</v>
      </c>
      <c r="AL10" s="4" t="s">
        <v>35</v>
      </c>
      <c r="AM10" s="4" t="s">
        <v>36</v>
      </c>
      <c r="AN10" s="2" t="s">
        <v>37</v>
      </c>
      <c r="AO10" s="4" t="s">
        <v>38</v>
      </c>
      <c r="AP10" s="2" t="s">
        <v>39</v>
      </c>
      <c r="AQ10" s="4" t="s">
        <v>119</v>
      </c>
      <c r="AR10" s="4" t="s">
        <v>90</v>
      </c>
      <c r="AS10" s="4" t="s">
        <v>120</v>
      </c>
      <c r="AT10" s="4" t="s">
        <v>91</v>
      </c>
      <c r="AU10" s="4" t="s">
        <v>89</v>
      </c>
      <c r="AV10" s="4" t="s">
        <v>92</v>
      </c>
      <c r="AW10" s="36" t="s">
        <v>164</v>
      </c>
      <c r="AX10" s="4" t="s">
        <v>165</v>
      </c>
      <c r="AY10" s="4" t="s">
        <v>166</v>
      </c>
      <c r="AZ10" s="4" t="s">
        <v>167</v>
      </c>
      <c r="BA10" s="4" t="s">
        <v>168</v>
      </c>
      <c r="BB10" s="4" t="s">
        <v>169</v>
      </c>
      <c r="BC10" s="4" t="s">
        <v>170</v>
      </c>
      <c r="BD10" s="4" t="s">
        <v>171</v>
      </c>
      <c r="BE10" s="2" t="s">
        <v>172</v>
      </c>
      <c r="BF10" s="36" t="s">
        <v>173</v>
      </c>
      <c r="BG10" s="4" t="s">
        <v>174</v>
      </c>
      <c r="BH10" s="4" t="s">
        <v>175</v>
      </c>
      <c r="BI10" s="4" t="s">
        <v>176</v>
      </c>
      <c r="BJ10" s="4" t="s">
        <v>177</v>
      </c>
      <c r="BK10" s="4" t="s">
        <v>178</v>
      </c>
      <c r="BL10" s="4" t="s">
        <v>179</v>
      </c>
      <c r="BM10" s="4" t="s">
        <v>180</v>
      </c>
      <c r="BN10" s="2" t="s">
        <v>181</v>
      </c>
      <c r="BO10" s="2" t="s">
        <v>108</v>
      </c>
      <c r="BP10" s="4" t="s">
        <v>113</v>
      </c>
      <c r="BQ10" s="4" t="s">
        <v>118</v>
      </c>
      <c r="BR10" s="114" t="s">
        <v>245</v>
      </c>
      <c r="BS10" s="105" t="s">
        <v>244</v>
      </c>
      <c r="BT10" s="105" t="s">
        <v>269</v>
      </c>
      <c r="BU10" s="105" t="s">
        <v>311</v>
      </c>
      <c r="BV10" s="105" t="s">
        <v>375</v>
      </c>
      <c r="BW10" s="105" t="s">
        <v>376</v>
      </c>
      <c r="BX10" s="105" t="s">
        <v>377</v>
      </c>
      <c r="BY10" s="105" t="s">
        <v>378</v>
      </c>
      <c r="BZ10" s="105" t="s">
        <v>379</v>
      </c>
      <c r="CA10" s="105" t="s">
        <v>380</v>
      </c>
      <c r="CB10" s="105" t="s">
        <v>390</v>
      </c>
      <c r="CC10" s="105" t="s">
        <v>391</v>
      </c>
      <c r="CD10" s="105" t="s">
        <v>392</v>
      </c>
      <c r="CE10" s="105" t="s">
        <v>464</v>
      </c>
      <c r="CF10" s="326" t="s">
        <v>95</v>
      </c>
      <c r="CG10" s="326" t="s">
        <v>97</v>
      </c>
      <c r="CH10" s="326" t="s">
        <v>98</v>
      </c>
      <c r="CI10" s="326" t="s">
        <v>99</v>
      </c>
      <c r="CJ10" s="326" t="s">
        <v>100</v>
      </c>
      <c r="CK10" s="326" t="s">
        <v>101</v>
      </c>
      <c r="CL10" s="326" t="s">
        <v>102</v>
      </c>
      <c r="CM10" s="326" t="s">
        <v>103</v>
      </c>
      <c r="CN10" s="326" t="s">
        <v>18</v>
      </c>
    </row>
    <row r="11" spans="1:92">
      <c r="A11" s="308" t="s">
        <v>212</v>
      </c>
      <c r="B11" s="309" t="s">
        <v>100</v>
      </c>
      <c r="C11" s="310">
        <f>IF(BH11=1,3,IF(BI11=1,4,IF(BF11=1,1,IF(BJ11=1,5,IF(BG11=1,2,IF(BK11=1,6,IF(BL11=1,7,IF(BM11=1,8,IF(BN11=1,9,"-")))))))))</f>
        <v>3</v>
      </c>
      <c r="D11" s="310">
        <f>IF(AY11=1,3,IF(AZ11=1,4,IF(AW11=1,1,IF(BA11=1,5,IF(AX11=1,2,IF(BB11=1,6,IF(BC11=1,7,IF(BD11=1,8,IF(BE11=1,9,"-")))))))))</f>
        <v>3</v>
      </c>
      <c r="E11" s="310" t="str">
        <f>IF(OR(OR(O11="Very High",O11="High"),AND(OR(O11="Very High",O11="High",O11="Normal"),OR(P11="Very High",P11="High"))),"K","T")</f>
        <v>K</v>
      </c>
      <c r="F11" s="310" t="s">
        <v>100</v>
      </c>
      <c r="G11" s="310" t="s">
        <v>43</v>
      </c>
      <c r="H11" s="310" t="s">
        <v>25</v>
      </c>
      <c r="I11" s="310" t="s">
        <v>212</v>
      </c>
      <c r="J11" s="310">
        <v>30</v>
      </c>
      <c r="K11" s="310" t="s">
        <v>106</v>
      </c>
      <c r="L11" s="310" t="s">
        <v>107</v>
      </c>
      <c r="M11" s="310" t="s">
        <v>44</v>
      </c>
      <c r="N11" s="311" t="s">
        <v>44</v>
      </c>
      <c r="O11" s="310" t="s">
        <v>229</v>
      </c>
      <c r="P11" s="311" t="s">
        <v>228</v>
      </c>
      <c r="Q11" s="310">
        <v>8</v>
      </c>
      <c r="R11" s="310">
        <v>8</v>
      </c>
      <c r="S11" s="310">
        <v>10</v>
      </c>
      <c r="T11" s="310">
        <v>7</v>
      </c>
      <c r="U11" s="311">
        <v>4</v>
      </c>
      <c r="V11" s="310">
        <v>8</v>
      </c>
      <c r="W11" s="310">
        <v>8</v>
      </c>
      <c r="X11" s="310">
        <v>10</v>
      </c>
      <c r="Y11" s="310">
        <v>7</v>
      </c>
      <c r="Z11" s="311">
        <v>4</v>
      </c>
      <c r="AA11" s="310">
        <v>8</v>
      </c>
      <c r="AB11" s="310">
        <v>1</v>
      </c>
      <c r="AC11" s="310">
        <v>1</v>
      </c>
      <c r="AD11" s="310" t="s">
        <v>41</v>
      </c>
      <c r="AE11" s="310" t="s">
        <v>41</v>
      </c>
      <c r="AF11" s="310">
        <v>2</v>
      </c>
      <c r="AG11" s="310">
        <v>8</v>
      </c>
      <c r="AH11" s="310">
        <v>7</v>
      </c>
      <c r="AI11" s="310" t="s">
        <v>41</v>
      </c>
      <c r="AJ11" s="310" t="s">
        <v>41</v>
      </c>
      <c r="AK11" s="311" t="s">
        <v>41</v>
      </c>
      <c r="AL11" s="310">
        <v>2</v>
      </c>
      <c r="AM11" s="310">
        <v>4</v>
      </c>
      <c r="AN11" s="311">
        <v>3</v>
      </c>
      <c r="AO11" s="312">
        <v>11500000</v>
      </c>
      <c r="AP11" s="311">
        <v>2</v>
      </c>
      <c r="AQ11" s="313">
        <f>AVERAGE(Q11,S11,T11)+IF(OR(Q11&gt;7,AND(Q11&gt;5,T11&gt;5)),0.5,0)+IF(S11&gt;7,0.25,0)+IF(Q11&lt;6,-0.5*(6-Q11),0)</f>
        <v>9.0833333333333339</v>
      </c>
      <c r="AR11" s="314" t="str">
        <f>IF(AQ11&gt;9,"SuperStar",IF(AQ11&gt;8,"Star",IF(AQ11&gt;6.5,"GoodReg",IF(AQ11&gt;5,"Reg",IF(AQ11&gt;4,"Bench","Minors")))))</f>
        <v>SuperStar</v>
      </c>
      <c r="AS11" s="313">
        <f>AVERAGE(V11,X11,Y11)+IF(OR(V11&gt;7,AND(V11&gt;5,Y11&gt;5)),0.5,0)+IF(X11&gt;7,0.25,0)+IF(V11&lt;6,-0.5*(6-V11),0)</f>
        <v>9.0833333333333339</v>
      </c>
      <c r="AT11" s="313" t="str">
        <f>IF(AS11&gt;9,"SuperStar",IF(AS11&gt;8,"Star",IF(AS11&gt;6.5,"GoodReg",IF(AS11&gt;5,"Reg",IF(AS11&gt;4,"Bench","Minors")))))</f>
        <v>SuperStar</v>
      </c>
      <c r="AU11" s="314">
        <f>MIN(AQ11+(MAX(0,25-J11))^1.5,AS11)</f>
        <v>9.0833333333333339</v>
      </c>
      <c r="AV11" s="314" t="str">
        <f>IF(AU11&gt;9,"SuperStar",IF(AU11&gt;8,"Star",IF(AU11&gt;6.5,"GoodReg",IF(AU11&gt;5,"Reg",IF(AU11&gt;4,"Bench","Minors")))))</f>
        <v>SuperStar</v>
      </c>
      <c r="AW11" s="315">
        <f>IF(AND(OR(Q11+T11&gt;12,AND(Q11&gt;6,T11&gt;6)),AL11&gt;6,OR(AM11&gt;=AL11,AM11&gt;6)),1,0)</f>
        <v>0</v>
      </c>
      <c r="AX11" s="316">
        <f>IF(OR(AND(Q11&gt;6,U11&gt;6),Q11+T11&gt;12),1,0)</f>
        <v>1</v>
      </c>
      <c r="AY11" s="316">
        <f>IF(AND(Q11&gt;6,S11&gt;6,T11&gt;6),1,0)</f>
        <v>1</v>
      </c>
      <c r="AZ11" s="316">
        <f>IF(AND(S11&gt;7,OR(Q11&gt;6,T11&gt;6)),1,0)</f>
        <v>1</v>
      </c>
      <c r="BA11" s="316">
        <f>IF(AND(S11&gt;6,OR(Q11&gt;6,T11&gt;6)),1,0)</f>
        <v>1</v>
      </c>
      <c r="BB11" s="316">
        <f>IF(AND(OR(Q11&gt;6,S11&gt;6),OR(Q11&gt;6,T11&gt;6)),1,0)</f>
        <v>1</v>
      </c>
      <c r="BC11" s="316">
        <f>IF(AND(Q11&gt;4,OR(Q11&gt;6,S11&gt;6,T11&gt;6)),1,0)</f>
        <v>1</v>
      </c>
      <c r="BD11" s="316">
        <f>IF(AND(Q11&gt;4,OR(Q11&gt;6,R11&gt;6,S11&gt;6,T11&gt;6)),1,0)</f>
        <v>1</v>
      </c>
      <c r="BE11" s="311">
        <f>IF(AND(Q11&gt;4,MAX(Q11:U11)&gt;6),1,0)</f>
        <v>1</v>
      </c>
      <c r="BF11" s="315">
        <f>IF(AND(OR(V11+Y11&gt;12,AND(V11&gt;6,Y11&gt;6)),AL11&gt;6,OR(AM11&gt;=AL11,AM11&gt;6)),1,0)</f>
        <v>0</v>
      </c>
      <c r="BG11" s="316">
        <f>IF(OR(AND(V11&gt;6,Z11&gt;6),V11+Y11&gt;12),1,0)</f>
        <v>1</v>
      </c>
      <c r="BH11" s="316">
        <f>IF(AND(V11&gt;6,X11&gt;6,Y11&gt;6),1,0)</f>
        <v>1</v>
      </c>
      <c r="BI11" s="316">
        <f>IF(AND(X11&gt;7,OR(V11&gt;6,Y11&gt;6)),1,0)</f>
        <v>1</v>
      </c>
      <c r="BJ11" s="316">
        <f>IF(AND(X11&gt;6,OR(V11&gt;6,Y11&gt;6)),1,0)</f>
        <v>1</v>
      </c>
      <c r="BK11" s="316">
        <f>IF(AND(OR(V11&gt;6,X11&gt;6),OR(V11&gt;6,Y11&gt;6)),1,0)</f>
        <v>1</v>
      </c>
      <c r="BL11" s="316">
        <f>IF(AND(V11&gt;4,OR(V11&gt;6,X11&gt;6,Y11&gt;6)),1,0)</f>
        <v>1</v>
      </c>
      <c r="BM11" s="316">
        <f>IF(AND(V11&gt;4,OR(V11&gt;6,W11&gt;6,X11&gt;6,Y11&gt;6)),1,0)</f>
        <v>1</v>
      </c>
      <c r="BN11" s="311">
        <f>IF(AND(V11&gt;4,MAX(V11:Z11)&gt;6),1,0)</f>
        <v>1</v>
      </c>
      <c r="BO11" s="311">
        <f>IF(AVERAGE(AL11:AM11)&gt;9,1,0)+IF(AVERAGE(AL11:AM11)&gt;7,1,0)+IF(AL11&gt;7,1,0)+IF(AM11&gt;7,1,0)+IF(AN11&gt;8,1,0)+IF(AN11&gt;6,1,0)</f>
        <v>0</v>
      </c>
      <c r="BP11" s="317">
        <f>IF(OR(MAX(AD11,AE11,AI11,AK11)&gt;6,MAX(AF11,AG11,AH11,AJ11)&gt;7),2,IF(MAX(AD11:AK11)&gt;4,1,0))</f>
        <v>2</v>
      </c>
      <c r="BQ11" s="310" t="str">
        <f>IF(AP11=1,"Yes","")</f>
        <v/>
      </c>
      <c r="BR11" s="309" t="str">
        <f>IF($A11="ML","There",IF(AND($V11&gt;=6,AVERAGE($X11:$Y11)&gt;=6),"Likely",IF(OR($V11&gt;6,AND($V11=6,AVERAGE($X11:$Y11)&gt;=3),AND($V11&gt;=5,AVERAGE($X11:$Y11)&gt;=5),AVERAGE($V11,$X11:$Y11)&gt;5),"Possible","Unlikely")))</f>
        <v>There</v>
      </c>
      <c r="BS11" s="310" t="str">
        <f>IF(OR(AND(Q11&gt;=6,S11+T11&gt;=12),Q11&gt;7),"Start",IF(AND(Q11&gt;=5,S11+T11&gt;=8),"Bench","aack!"))</f>
        <v>Start</v>
      </c>
      <c r="BT11" s="310" t="str">
        <f>IF(OR(AND(V11&gt;=6,X11+Y11&gt;=12),V11&gt;7),"Start",IF(AND(V11&gt;=5,X11+Y11&gt;=8),"Bench","aack!"))</f>
        <v>Start</v>
      </c>
      <c r="BU11" s="310" t="str">
        <f>IF(Q11&gt;5,"ML",IF(Q11=5,"AAA",IF(Q11=4,"AA",IF(Q11=3,"A","SS-A"))))</f>
        <v>ML</v>
      </c>
      <c r="BV11" s="310">
        <f>Q11-V11</f>
        <v>0</v>
      </c>
      <c r="BW11" s="310">
        <f>R11-W11</f>
        <v>0</v>
      </c>
      <c r="BX11" s="310">
        <f>S11-X11</f>
        <v>0</v>
      </c>
      <c r="BY11" s="310">
        <f>T11-Y11</f>
        <v>0</v>
      </c>
      <c r="BZ11" s="310">
        <f>U11-Z11</f>
        <v>0</v>
      </c>
      <c r="CA11" s="310">
        <f>SUM(BV11:BZ11)</f>
        <v>0</v>
      </c>
      <c r="CB11" s="310">
        <f>V11+X11+Y11</f>
        <v>25</v>
      </c>
      <c r="CC11" s="310">
        <f>V11+X11</f>
        <v>18</v>
      </c>
      <c r="CD11" s="310">
        <f>V11+Y11</f>
        <v>15</v>
      </c>
      <c r="CE11" s="310" t="str">
        <f>IF(J11&gt;24,"Now - Age",IF(Q11&gt;6,"Now",IF(V11&lt;6,"With Dev",MIN(V11-Q11,7-Q11))))</f>
        <v>Now - Age</v>
      </c>
      <c r="CF11" s="325" t="str">
        <f t="shared" ref="CF11:CF37" si="3">IF(AD11&lt;&gt;"-","X","")</f>
        <v/>
      </c>
      <c r="CG11" s="325" t="str">
        <f>IF(AND(AE11&lt;&gt;"-",AE11&gt;5),"X","")</f>
        <v/>
      </c>
      <c r="CH11" s="325" t="str">
        <f>IF(AND(AF11&lt;&gt;"-",AF11&gt;5),"X","")</f>
        <v/>
      </c>
      <c r="CI11" s="325" t="str">
        <f>IF(AND(AG11&lt;&gt;"-",AG11&gt;4,AA11&gt;6),"X","")</f>
        <v>X</v>
      </c>
      <c r="CJ11" s="325" t="str">
        <f>IF(AND(AH11&lt;&gt;"-",AH11&gt;6,AA11&gt;5),"X","")</f>
        <v>X</v>
      </c>
      <c r="CK11" s="325" t="str">
        <f>IF(AND(AI11&lt;&gt;"-",AI11&gt;3),"X","")</f>
        <v/>
      </c>
      <c r="CL11" s="325" t="str">
        <f>IF(AND(AJ11&lt;&gt;"-",AJ11&gt;6),"X","")</f>
        <v/>
      </c>
      <c r="CM11" s="325" t="str">
        <f>IF(AND(AK11&lt;&gt;"-",AK11&gt;5,AB11&gt;6),"X","")</f>
        <v/>
      </c>
      <c r="CN11" s="325" t="str">
        <f t="shared" ref="CN11:CN74" si="4">IF(COUNTBLANK(CF11:CM11)=8,"X","")</f>
        <v/>
      </c>
    </row>
    <row r="12" spans="1:92">
      <c r="A12" s="308" t="s">
        <v>212</v>
      </c>
      <c r="B12" s="309" t="s">
        <v>18</v>
      </c>
      <c r="C12" s="310">
        <f>IF(BH12=1,3,IF(BI12=1,4,IF(BF12=1,1,IF(BJ12=1,5,IF(BG12=1,2,IF(BK12=1,6,IF(BL12=1,7,IF(BM12=1,8,IF(BN12=1,9,"-")))))))))</f>
        <v>3</v>
      </c>
      <c r="D12" s="310">
        <f>IF(AY12=1,3,IF(AZ12=1,4,IF(AW12=1,1,IF(BA12=1,5,IF(AX12=1,2,IF(BB12=1,6,IF(BC12=1,7,IF(BD12=1,8,IF(BE12=1,9,"-")))))))))</f>
        <v>3</v>
      </c>
      <c r="E12" s="310" t="str">
        <f>IF(OR(OR(O12="Very High",O12="High"),AND(OR(O12="Very High",O12="High",O12="Normal"),OR(P12="Very High",P12="High"))),"K","T")</f>
        <v>K</v>
      </c>
      <c r="F12" s="310" t="s">
        <v>103</v>
      </c>
      <c r="G12" s="310" t="s">
        <v>592</v>
      </c>
      <c r="H12" s="310" t="s">
        <v>25</v>
      </c>
      <c r="I12" s="310" t="s">
        <v>212</v>
      </c>
      <c r="J12" s="310">
        <v>29</v>
      </c>
      <c r="K12" s="310" t="s">
        <v>106</v>
      </c>
      <c r="L12" s="310" t="s">
        <v>106</v>
      </c>
      <c r="M12" s="310" t="s">
        <v>48</v>
      </c>
      <c r="N12" s="311" t="s">
        <v>48</v>
      </c>
      <c r="O12" s="310" t="s">
        <v>228</v>
      </c>
      <c r="P12" s="311" t="s">
        <v>232</v>
      </c>
      <c r="Q12" s="310">
        <v>7</v>
      </c>
      <c r="R12" s="310">
        <v>10</v>
      </c>
      <c r="S12" s="310">
        <v>9</v>
      </c>
      <c r="T12" s="310">
        <v>7</v>
      </c>
      <c r="U12" s="311">
        <v>5</v>
      </c>
      <c r="V12" s="310">
        <v>7</v>
      </c>
      <c r="W12" s="310">
        <v>10</v>
      </c>
      <c r="X12" s="310">
        <v>9</v>
      </c>
      <c r="Y12" s="310">
        <v>7</v>
      </c>
      <c r="Z12" s="311">
        <v>5</v>
      </c>
      <c r="AA12" s="310">
        <v>1</v>
      </c>
      <c r="AB12" s="310">
        <v>7</v>
      </c>
      <c r="AC12" s="310">
        <v>1</v>
      </c>
      <c r="AD12" s="310" t="s">
        <v>41</v>
      </c>
      <c r="AE12" s="310" t="s">
        <v>41</v>
      </c>
      <c r="AF12" s="310" t="s">
        <v>41</v>
      </c>
      <c r="AG12" s="310" t="s">
        <v>41</v>
      </c>
      <c r="AH12" s="310" t="s">
        <v>41</v>
      </c>
      <c r="AI12" s="310">
        <v>6</v>
      </c>
      <c r="AJ12" s="310" t="s">
        <v>41</v>
      </c>
      <c r="AK12" s="311">
        <v>6</v>
      </c>
      <c r="AL12" s="310">
        <v>6</v>
      </c>
      <c r="AM12" s="310">
        <v>7</v>
      </c>
      <c r="AN12" s="311">
        <v>6</v>
      </c>
      <c r="AO12" s="312">
        <v>15000000</v>
      </c>
      <c r="AP12" s="311">
        <v>1</v>
      </c>
      <c r="AQ12" s="313">
        <f>AVERAGE(Q12,S12,T12)+IF(OR(Q12&gt;7,AND(Q12&gt;5,T12&gt;5)),0.5,0)+IF(S12&gt;7,0.25,0)+IF(Q12&lt;6,-0.5*(6-Q12),0)</f>
        <v>8.4166666666666679</v>
      </c>
      <c r="AR12" s="314" t="str">
        <f>IF(AQ12&gt;9,"SuperStar",IF(AQ12&gt;8,"Star",IF(AQ12&gt;6.5,"GoodReg",IF(AQ12&gt;5,"Reg",IF(AQ12&gt;4,"Bench","Minors")))))</f>
        <v>Star</v>
      </c>
      <c r="AS12" s="313">
        <f>AVERAGE(V12,X12,Y12)+IF(OR(V12&gt;7,AND(V12&gt;5,Y12&gt;5)),0.5,0)+IF(X12&gt;7,0.25,0)+IF(V12&lt;6,-0.5*(6-V12),0)</f>
        <v>8.4166666666666679</v>
      </c>
      <c r="AT12" s="313" t="str">
        <f>IF(AS12&gt;9,"SuperStar",IF(AS12&gt;8,"Star",IF(AS12&gt;6.5,"GoodReg",IF(AS12&gt;5,"Reg",IF(AS12&gt;4,"Bench","Minors")))))</f>
        <v>Star</v>
      </c>
      <c r="AU12" s="314">
        <f>MIN(AQ12+(MAX(0,25-J12))^1.5,AS12)</f>
        <v>8.4166666666666679</v>
      </c>
      <c r="AV12" s="314" t="str">
        <f>IF(AU12&gt;9,"SuperStar",IF(AU12&gt;8,"Star",IF(AU12&gt;6.5,"GoodReg",IF(AU12&gt;5,"Reg",IF(AU12&gt;4,"Bench","Minors")))))</f>
        <v>Star</v>
      </c>
      <c r="AW12" s="315">
        <f>IF(AND(OR(Q12+T12&gt;12,AND(Q12&gt;6,T12&gt;6)),AL12&gt;6,OR(AM12&gt;=AL12,AM12&gt;6)),1,0)</f>
        <v>0</v>
      </c>
      <c r="AX12" s="316">
        <f>IF(OR(AND(Q12&gt;6,U12&gt;6),Q12+T12&gt;12),1,0)</f>
        <v>1</v>
      </c>
      <c r="AY12" s="316">
        <f>IF(AND(Q12&gt;6,S12&gt;6,T12&gt;6),1,0)</f>
        <v>1</v>
      </c>
      <c r="AZ12" s="316">
        <f>IF(AND(S12&gt;7,OR(Q12&gt;6,T12&gt;6)),1,0)</f>
        <v>1</v>
      </c>
      <c r="BA12" s="316">
        <f>IF(AND(S12&gt;6,OR(Q12&gt;6,T12&gt;6)),1,0)</f>
        <v>1</v>
      </c>
      <c r="BB12" s="316">
        <f>IF(AND(OR(Q12&gt;6,S12&gt;6),OR(Q12&gt;6,T12&gt;6)),1,0)</f>
        <v>1</v>
      </c>
      <c r="BC12" s="316">
        <f>IF(AND(Q12&gt;4,OR(Q12&gt;6,S12&gt;6,T12&gt;6)),1,0)</f>
        <v>1</v>
      </c>
      <c r="BD12" s="316">
        <f>IF(AND(Q12&gt;4,OR(Q12&gt;6,R12&gt;6,S12&gt;6,T12&gt;6)),1,0)</f>
        <v>1</v>
      </c>
      <c r="BE12" s="311">
        <f>IF(AND(Q12&gt;4,MAX(Q12:U12)&gt;6),1,0)</f>
        <v>1</v>
      </c>
      <c r="BF12" s="315">
        <f>IF(AND(OR(V12+Y12&gt;12,AND(V12&gt;6,Y12&gt;6)),AL12&gt;6,OR(AM12&gt;=AL12,AM12&gt;6)),1,0)</f>
        <v>0</v>
      </c>
      <c r="BG12" s="316">
        <f>IF(OR(AND(V12&gt;6,Z12&gt;6),V12+Y12&gt;12),1,0)</f>
        <v>1</v>
      </c>
      <c r="BH12" s="316">
        <f>IF(AND(V12&gt;6,X12&gt;6,Y12&gt;6),1,0)</f>
        <v>1</v>
      </c>
      <c r="BI12" s="316">
        <f>IF(AND(X12&gt;7,OR(V12&gt;6,Y12&gt;6)),1,0)</f>
        <v>1</v>
      </c>
      <c r="BJ12" s="316">
        <f>IF(AND(X12&gt;6,OR(V12&gt;6,Y12&gt;6)),1,0)</f>
        <v>1</v>
      </c>
      <c r="BK12" s="316">
        <f>IF(AND(OR(V12&gt;6,X12&gt;6),OR(V12&gt;6,Y12&gt;6)),1,0)</f>
        <v>1</v>
      </c>
      <c r="BL12" s="316">
        <f>IF(AND(V12&gt;4,OR(V12&gt;6,X12&gt;6,Y12&gt;6)),1,0)</f>
        <v>1</v>
      </c>
      <c r="BM12" s="316">
        <f>IF(AND(V12&gt;4,OR(V12&gt;6,W12&gt;6,X12&gt;6,Y12&gt;6)),1,0)</f>
        <v>1</v>
      </c>
      <c r="BN12" s="311">
        <f>IF(AND(V12&gt;4,MAX(V12:Z12)&gt;6),1,0)</f>
        <v>1</v>
      </c>
      <c r="BO12" s="311">
        <f>IF(AVERAGE(AL12:AM12)&gt;9,1,0)+IF(AVERAGE(AL12:AM12)&gt;7,1,0)+IF(AL12&gt;7,1,0)+IF(AM12&gt;7,1,0)+IF(AN12&gt;8,1,0)+IF(AN12&gt;6,1,0)</f>
        <v>0</v>
      </c>
      <c r="BP12" s="317">
        <f>IF(OR(MAX(AD12,AE12,AI12,AK12)&gt;6,MAX(AF12,AG12,AH12,AJ12)&gt;7),2,IF(MAX(AD12:AK12)&gt;4,1,0))</f>
        <v>1</v>
      </c>
      <c r="BQ12" s="310" t="str">
        <f>IF(AP12=1,"Yes","")</f>
        <v>Yes</v>
      </c>
      <c r="BR12" s="309" t="str">
        <f>IF($A12="ML","There",IF(AND($V12&gt;=6,AVERAGE($X12:$Y12)&gt;=6),"Likely",IF(OR($V12&gt;6,AND($V12=6,AVERAGE($X12:$Y12)&gt;=3),AND($V12&gt;=5,AVERAGE($X12:$Y12)&gt;=5),AVERAGE($V12,$X12:$Y12)&gt;5),"Possible","Unlikely")))</f>
        <v>There</v>
      </c>
      <c r="BS12" s="310" t="str">
        <f>IF(OR(AND(Q12&gt;=6,S12+T12&gt;=12),Q12&gt;7),"Start",IF(AND(Q12&gt;=5,S12+T12&gt;=8),"Bench","aack!"))</f>
        <v>Start</v>
      </c>
      <c r="BT12" s="310" t="str">
        <f>IF(OR(AND(V12&gt;=6,X12+Y12&gt;=12),V12&gt;7),"Start",IF(AND(V12&gt;=5,X12+Y12&gt;=8),"Bench","aack!"))</f>
        <v>Start</v>
      </c>
      <c r="BU12" s="310" t="str">
        <f>IF(Q12&gt;5,"ML",IF(Q12=5,"AAA",IF(Q12=4,"AA",IF(Q12=3,"A","SS-A"))))</f>
        <v>ML</v>
      </c>
      <c r="BV12" s="310">
        <f>Q12-V12</f>
        <v>0</v>
      </c>
      <c r="BW12" s="310">
        <f>R12-W12</f>
        <v>0</v>
      </c>
      <c r="BX12" s="310">
        <f>S12-X12</f>
        <v>0</v>
      </c>
      <c r="BY12" s="310">
        <f>T12-Y12</f>
        <v>0</v>
      </c>
      <c r="BZ12" s="310">
        <f>U12-Z12</f>
        <v>0</v>
      </c>
      <c r="CA12" s="310">
        <f>SUM(BV12:BZ12)</f>
        <v>0</v>
      </c>
      <c r="CB12" s="310">
        <f>V12+X12+Y12</f>
        <v>23</v>
      </c>
      <c r="CC12" s="310">
        <f>V12+X12</f>
        <v>16</v>
      </c>
      <c r="CD12" s="310">
        <f>V12+Y12</f>
        <v>14</v>
      </c>
      <c r="CE12" s="310" t="str">
        <f>IF(J12&gt;24,"Now - Age",IF(Q12&gt;6,"Now",IF(V12&lt;6,"With Dev",MIN(V12-Q12,7-Q12))))</f>
        <v>Now - Age</v>
      </c>
      <c r="CF12" s="325" t="str">
        <f t="shared" si="3"/>
        <v/>
      </c>
      <c r="CG12" s="325" t="str">
        <f t="shared" ref="CG12:CG75" si="5">IF(AND(AE12&lt;&gt;"-",AE12&gt;5),"X","")</f>
        <v/>
      </c>
      <c r="CH12" s="325" t="str">
        <f t="shared" ref="CH12:CH75" si="6">IF(AND(AF12&lt;&gt;"-",AF12&gt;5),"X","")</f>
        <v/>
      </c>
      <c r="CI12" s="325" t="str">
        <f t="shared" ref="CI12:CI75" si="7">IF(AND(AG12&lt;&gt;"-",AG12&gt;4,AA12&gt;6),"X","")</f>
        <v/>
      </c>
      <c r="CJ12" s="325" t="str">
        <f t="shared" ref="CJ12:CJ75" si="8">IF(AND(AH12&lt;&gt;"-",AH12&gt;5,AA12&gt;5),"X","")</f>
        <v/>
      </c>
      <c r="CK12" s="325" t="str">
        <f t="shared" ref="CK12:CK75" si="9">IF(AND(AI12&lt;&gt;"-",AI12&gt;3),"X","")</f>
        <v>X</v>
      </c>
      <c r="CL12" s="325" t="str">
        <f t="shared" ref="CL12:CL75" si="10">IF(AND(AJ12&lt;&gt;"-",AJ12&gt;6),"X","")</f>
        <v/>
      </c>
      <c r="CM12" s="325" t="str">
        <f t="shared" ref="CM12:CM75" si="11">IF(AND(AK12&lt;&gt;"-",AK12&gt;5,AB12&gt;6),"X","")</f>
        <v>X</v>
      </c>
      <c r="CN12" s="325" t="str">
        <f t="shared" si="4"/>
        <v/>
      </c>
    </row>
    <row r="13" spans="1:92">
      <c r="A13" s="308" t="s">
        <v>212</v>
      </c>
      <c r="B13" s="309" t="s">
        <v>101</v>
      </c>
      <c r="C13" s="310">
        <f>IF(BH13=1,3,IF(BI13=1,4,IF(BF13=1,1,IF(BJ13=1,5,IF(BG13=1,2,IF(BK13=1,6,IF(BL13=1,7,IF(BM13=1,8,IF(BN13=1,9,"-")))))))))</f>
        <v>1</v>
      </c>
      <c r="D13" s="310">
        <f>IF(AY13=1,3,IF(AZ13=1,4,IF(AW13=1,1,IF(BA13=1,5,IF(AX13=1,2,IF(BB13=1,6,IF(BC13=1,7,IF(BD13=1,8,IF(BE13=1,9,"-")))))))))</f>
        <v>1</v>
      </c>
      <c r="E13" s="310" t="str">
        <f>IF(OR(OR(O13="Very High",O13="High"),AND(OR(O13="Very High",O13="High",O13="Normal"),OR(P13="Very High",P13="High"))),"K","T")</f>
        <v>K</v>
      </c>
      <c r="F13" s="310" t="s">
        <v>101</v>
      </c>
      <c r="G13" s="310" t="s">
        <v>425</v>
      </c>
      <c r="H13" s="310" t="s">
        <v>25</v>
      </c>
      <c r="I13" s="310" t="s">
        <v>212</v>
      </c>
      <c r="J13" s="310">
        <v>27</v>
      </c>
      <c r="K13" s="310" t="s">
        <v>106</v>
      </c>
      <c r="L13" s="310" t="s">
        <v>106</v>
      </c>
      <c r="M13" s="310" t="s">
        <v>48</v>
      </c>
      <c r="N13" s="311" t="s">
        <v>48</v>
      </c>
      <c r="O13" s="310" t="s">
        <v>230</v>
      </c>
      <c r="P13" s="311" t="s">
        <v>228</v>
      </c>
      <c r="Q13" s="310">
        <v>8</v>
      </c>
      <c r="R13" s="310">
        <v>7</v>
      </c>
      <c r="S13" s="310">
        <v>7</v>
      </c>
      <c r="T13" s="310">
        <v>6</v>
      </c>
      <c r="U13" s="311">
        <v>8</v>
      </c>
      <c r="V13" s="310">
        <v>8</v>
      </c>
      <c r="W13" s="310">
        <v>7</v>
      </c>
      <c r="X13" s="310">
        <v>7</v>
      </c>
      <c r="Y13" s="310">
        <v>6</v>
      </c>
      <c r="Z13" s="311">
        <v>8</v>
      </c>
      <c r="AA13" s="310">
        <v>1</v>
      </c>
      <c r="AB13" s="310">
        <v>4</v>
      </c>
      <c r="AC13" s="310">
        <v>1</v>
      </c>
      <c r="AD13" s="310" t="s">
        <v>41</v>
      </c>
      <c r="AE13" s="310" t="s">
        <v>41</v>
      </c>
      <c r="AF13" s="310" t="s">
        <v>41</v>
      </c>
      <c r="AG13" s="310" t="s">
        <v>41</v>
      </c>
      <c r="AH13" s="310" t="s">
        <v>41</v>
      </c>
      <c r="AI13" s="310">
        <v>10</v>
      </c>
      <c r="AJ13" s="310">
        <v>7</v>
      </c>
      <c r="AK13" s="311">
        <v>8</v>
      </c>
      <c r="AL13" s="310">
        <v>7</v>
      </c>
      <c r="AM13" s="310">
        <v>10</v>
      </c>
      <c r="AN13" s="311">
        <v>9</v>
      </c>
      <c r="AO13" s="312">
        <v>490000</v>
      </c>
      <c r="AP13" s="311" t="s">
        <v>45</v>
      </c>
      <c r="AQ13" s="313">
        <f>AVERAGE(Q13,S13,T13)+IF(OR(Q13&gt;7,AND(Q13&gt;5,T13&gt;5)),0.5,0)+IF(S13&gt;7,0.25,0)+IF(Q13&lt;6,-0.5*(6-Q13),0)</f>
        <v>7.5</v>
      </c>
      <c r="AR13" s="314" t="str">
        <f>IF(AQ13&gt;9,"SuperStar",IF(AQ13&gt;8,"Star",IF(AQ13&gt;6.5,"GoodReg",IF(AQ13&gt;5,"Reg",IF(AQ13&gt;4,"Bench","Minors")))))</f>
        <v>GoodReg</v>
      </c>
      <c r="AS13" s="313">
        <f>AVERAGE(V13,X13,Y13)+IF(OR(V13&gt;7,AND(V13&gt;5,Y13&gt;5)),0.5,0)+IF(X13&gt;7,0.25,0)+IF(V13&lt;6,-0.5*(6-V13),0)</f>
        <v>7.5</v>
      </c>
      <c r="AT13" s="313" t="str">
        <f>IF(AS13&gt;9,"SuperStar",IF(AS13&gt;8,"Star",IF(AS13&gt;6.5,"GoodReg",IF(AS13&gt;5,"Reg",IF(AS13&gt;4,"Bench","Minors")))))</f>
        <v>GoodReg</v>
      </c>
      <c r="AU13" s="314">
        <f>MIN(AQ13+(MAX(0,25-J13))^1.5,AS13)</f>
        <v>7.5</v>
      </c>
      <c r="AV13" s="314" t="str">
        <f>IF(AU13&gt;9,"SuperStar",IF(AU13&gt;8,"Star",IF(AU13&gt;6.5,"GoodReg",IF(AU13&gt;5,"Reg",IF(AU13&gt;4,"Bench","Minors")))))</f>
        <v>GoodReg</v>
      </c>
      <c r="AW13" s="315">
        <f>IF(AND(OR(Q13+T13&gt;12,AND(Q13&gt;6,T13&gt;6)),AL13&gt;6,OR(AM13&gt;=AL13,AM13&gt;6)),1,0)</f>
        <v>1</v>
      </c>
      <c r="AX13" s="316">
        <f>IF(OR(AND(Q13&gt;6,U13&gt;6),Q13+T13&gt;12),1,0)</f>
        <v>1</v>
      </c>
      <c r="AY13" s="316">
        <f>IF(AND(Q13&gt;6,S13&gt;6,T13&gt;6),1,0)</f>
        <v>0</v>
      </c>
      <c r="AZ13" s="316">
        <f>IF(AND(S13&gt;7,OR(Q13&gt;6,T13&gt;6)),1,0)</f>
        <v>0</v>
      </c>
      <c r="BA13" s="316">
        <f>IF(AND(S13&gt;6,OR(Q13&gt;6,T13&gt;6)),1,0)</f>
        <v>1</v>
      </c>
      <c r="BB13" s="316">
        <f>IF(AND(OR(Q13&gt;6,S13&gt;6),OR(Q13&gt;6,T13&gt;6)),1,0)</f>
        <v>1</v>
      </c>
      <c r="BC13" s="316">
        <f>IF(AND(Q13&gt;4,OR(Q13&gt;6,S13&gt;6,T13&gt;6)),1,0)</f>
        <v>1</v>
      </c>
      <c r="BD13" s="316">
        <f>IF(AND(Q13&gt;4,OR(Q13&gt;6,R13&gt;6,S13&gt;6,T13&gt;6)),1,0)</f>
        <v>1</v>
      </c>
      <c r="BE13" s="311">
        <f>IF(AND(Q13&gt;4,MAX(Q13:U13)&gt;6),1,0)</f>
        <v>1</v>
      </c>
      <c r="BF13" s="315">
        <f>IF(AND(OR(V13+Y13&gt;12,AND(V13&gt;6,Y13&gt;6)),AL13&gt;6,OR(AM13&gt;=AL13,AM13&gt;6)),1,0)</f>
        <v>1</v>
      </c>
      <c r="BG13" s="316">
        <f>IF(OR(AND(V13&gt;6,Z13&gt;6),V13+Y13&gt;12),1,0)</f>
        <v>1</v>
      </c>
      <c r="BH13" s="316">
        <f>IF(AND(V13&gt;6,X13&gt;6,Y13&gt;6),1,0)</f>
        <v>0</v>
      </c>
      <c r="BI13" s="316">
        <f>IF(AND(X13&gt;7,OR(V13&gt;6,Y13&gt;6)),1,0)</f>
        <v>0</v>
      </c>
      <c r="BJ13" s="316">
        <f>IF(AND(X13&gt;6,OR(V13&gt;6,Y13&gt;6)),1,0)</f>
        <v>1</v>
      </c>
      <c r="BK13" s="316">
        <f>IF(AND(OR(V13&gt;6,X13&gt;6),OR(V13&gt;6,Y13&gt;6)),1,0)</f>
        <v>1</v>
      </c>
      <c r="BL13" s="316">
        <f>IF(AND(V13&gt;4,OR(V13&gt;6,X13&gt;6,Y13&gt;6)),1,0)</f>
        <v>1</v>
      </c>
      <c r="BM13" s="316">
        <f>IF(AND(V13&gt;4,OR(V13&gt;6,W13&gt;6,X13&gt;6,Y13&gt;6)),1,0)</f>
        <v>1</v>
      </c>
      <c r="BN13" s="311">
        <f>IF(AND(V13&gt;4,MAX(V13:Z13)&gt;6),1,0)</f>
        <v>1</v>
      </c>
      <c r="BO13" s="311">
        <f>IF(AVERAGE(AL13:AM13)&gt;9,1,0)+IF(AVERAGE(AL13:AM13)&gt;7,1,0)+IF(AL13&gt;7,1,0)+IF(AM13&gt;7,1,0)+IF(AN13&gt;8,1,0)+IF(AN13&gt;6,1,0)</f>
        <v>4</v>
      </c>
      <c r="BP13" s="317">
        <f>IF(OR(MAX(AD13,AE13,AI13,AK13)&gt;6,MAX(AF13,AG13,AH13,AJ13)&gt;7),2,IF(MAX(AD13:AK13)&gt;4,1,0))</f>
        <v>2</v>
      </c>
      <c r="BQ13" s="310" t="str">
        <f>IF(AP13=1,"Yes","")</f>
        <v/>
      </c>
      <c r="BR13" s="309" t="str">
        <f>IF($A13="ML","There",IF(AND($V13&gt;=6,AVERAGE($X13:$Y13)&gt;=6),"Likely",IF(OR($V13&gt;6,AND($V13=6,AVERAGE($X13:$Y13)&gt;=3),AND($V13&gt;=5,AVERAGE($X13:$Y13)&gt;=5),AVERAGE($V13,$X13:$Y13)&gt;5),"Possible","Unlikely")))</f>
        <v>There</v>
      </c>
      <c r="BS13" s="310" t="str">
        <f>IF(OR(AND(Q13&gt;=6,S13+T13&gt;=12),Q13&gt;7),"Start",IF(AND(Q13&gt;=5,S13+T13&gt;=8),"Bench","aack!"))</f>
        <v>Start</v>
      </c>
      <c r="BT13" s="310" t="str">
        <f>IF(OR(AND(V13&gt;=6,X13+Y13&gt;=12),V13&gt;7),"Start",IF(AND(V13&gt;=5,X13+Y13&gt;=8),"Bench","aack!"))</f>
        <v>Start</v>
      </c>
      <c r="BU13" s="310" t="str">
        <f>IF(Q13&gt;5,"ML",IF(Q13=5,"AAA",IF(Q13=4,"AA",IF(Q13=3,"A","SS-A"))))</f>
        <v>ML</v>
      </c>
      <c r="BV13" s="310">
        <f>Q13-V13</f>
        <v>0</v>
      </c>
      <c r="BW13" s="310">
        <f>R13-W13</f>
        <v>0</v>
      </c>
      <c r="BX13" s="310">
        <f>S13-X13</f>
        <v>0</v>
      </c>
      <c r="BY13" s="310">
        <f>T13-Y13</f>
        <v>0</v>
      </c>
      <c r="BZ13" s="310">
        <f>U13-Z13</f>
        <v>0</v>
      </c>
      <c r="CA13" s="310">
        <f>SUM(BV13:BZ13)</f>
        <v>0</v>
      </c>
      <c r="CB13" s="310">
        <f>V13+X13+Y13</f>
        <v>21</v>
      </c>
      <c r="CC13" s="310">
        <f>V13+X13</f>
        <v>15</v>
      </c>
      <c r="CD13" s="310">
        <f>V13+Y13</f>
        <v>14</v>
      </c>
      <c r="CE13" s="310" t="str">
        <f>IF(J13&gt;24,"Now - Age",IF(Q13&gt;6,"Now",IF(V13&lt;6,"With Dev",MIN(V13-Q13,7-Q13))))</f>
        <v>Now - Age</v>
      </c>
      <c r="CF13" s="325" t="str">
        <f t="shared" si="3"/>
        <v/>
      </c>
      <c r="CG13" s="325" t="str">
        <f t="shared" si="5"/>
        <v/>
      </c>
      <c r="CH13" s="325" t="str">
        <f t="shared" si="6"/>
        <v/>
      </c>
      <c r="CI13" s="325" t="str">
        <f t="shared" si="7"/>
        <v/>
      </c>
      <c r="CJ13" s="325" t="str">
        <f t="shared" si="8"/>
        <v/>
      </c>
      <c r="CK13" s="325" t="str">
        <f t="shared" si="9"/>
        <v>X</v>
      </c>
      <c r="CL13" s="325" t="str">
        <f t="shared" si="10"/>
        <v>X</v>
      </c>
      <c r="CM13" s="325" t="str">
        <f t="shared" si="11"/>
        <v/>
      </c>
      <c r="CN13" s="325" t="str">
        <f t="shared" si="4"/>
        <v/>
      </c>
    </row>
    <row r="14" spans="1:92">
      <c r="A14" s="308" t="s">
        <v>212</v>
      </c>
      <c r="B14" s="309" t="s">
        <v>97</v>
      </c>
      <c r="C14" s="310">
        <f>IF(BH14=1,3,IF(BI14=1,4,IF(BF14=1,1,IF(BJ14=1,5,IF(BG14=1,2,IF(BK14=1,6,IF(BL14=1,7,IF(BM14=1,8,IF(BN14=1,9,"-")))))))))</f>
        <v>7</v>
      </c>
      <c r="D14" s="310">
        <f>IF(AY14=1,3,IF(AZ14=1,4,IF(AW14=1,1,IF(BA14=1,5,IF(AX14=1,2,IF(BB14=1,6,IF(BC14=1,7,IF(BD14=1,8,IF(BE14=1,9,"-")))))))))</f>
        <v>7</v>
      </c>
      <c r="E14" s="310" t="str">
        <f>IF(OR(OR(O14="Very High",O14="High"),AND(OR(O14="Very High",O14="High",O14="Normal"),OR(P14="Very High",P14="High"))),"K","T")</f>
        <v>T</v>
      </c>
      <c r="F14" s="310" t="s">
        <v>97</v>
      </c>
      <c r="G14" s="310" t="s">
        <v>428</v>
      </c>
      <c r="H14" s="310" t="s">
        <v>25</v>
      </c>
      <c r="I14" s="310" t="s">
        <v>212</v>
      </c>
      <c r="J14" s="310">
        <v>29</v>
      </c>
      <c r="K14" s="310" t="s">
        <v>106</v>
      </c>
      <c r="L14" s="310" t="s">
        <v>106</v>
      </c>
      <c r="M14" s="310" t="s">
        <v>40</v>
      </c>
      <c r="N14" s="311" t="s">
        <v>42</v>
      </c>
      <c r="O14" s="310" t="s">
        <v>231</v>
      </c>
      <c r="P14" s="311" t="s">
        <v>229</v>
      </c>
      <c r="Q14" s="310">
        <v>6</v>
      </c>
      <c r="R14" s="310">
        <v>6</v>
      </c>
      <c r="S14" s="310">
        <v>8</v>
      </c>
      <c r="T14" s="310">
        <v>6</v>
      </c>
      <c r="U14" s="311">
        <v>4</v>
      </c>
      <c r="V14" s="310">
        <v>6</v>
      </c>
      <c r="W14" s="310">
        <v>6</v>
      </c>
      <c r="X14" s="310">
        <v>8</v>
      </c>
      <c r="Y14" s="310">
        <v>6</v>
      </c>
      <c r="Z14" s="311">
        <v>4</v>
      </c>
      <c r="AA14" s="310">
        <v>3</v>
      </c>
      <c r="AB14" s="310">
        <v>3</v>
      </c>
      <c r="AC14" s="310">
        <v>1</v>
      </c>
      <c r="AD14" s="310" t="s">
        <v>41</v>
      </c>
      <c r="AE14" s="310">
        <v>7</v>
      </c>
      <c r="AF14" s="310" t="s">
        <v>41</v>
      </c>
      <c r="AG14" s="310" t="s">
        <v>41</v>
      </c>
      <c r="AH14" s="310" t="s">
        <v>41</v>
      </c>
      <c r="AI14" s="310" t="s">
        <v>41</v>
      </c>
      <c r="AJ14" s="310" t="s">
        <v>41</v>
      </c>
      <c r="AK14" s="311" t="s">
        <v>41</v>
      </c>
      <c r="AL14" s="310">
        <v>1</v>
      </c>
      <c r="AM14" s="310">
        <v>2</v>
      </c>
      <c r="AN14" s="311">
        <v>1</v>
      </c>
      <c r="AO14" s="312">
        <v>864000</v>
      </c>
      <c r="AP14" s="311" t="s">
        <v>46</v>
      </c>
      <c r="AQ14" s="313">
        <f>AVERAGE(Q14,S14,T14)+IF(OR(Q14&gt;7,AND(Q14&gt;5,T14&gt;5)),0.5,0)+IF(S14&gt;7,0.25,0)+IF(Q14&lt;6,-0.5*(6-Q14),0)</f>
        <v>7.416666666666667</v>
      </c>
      <c r="AR14" s="314" t="str">
        <f>IF(AQ14&gt;9,"SuperStar",IF(AQ14&gt;8,"Star",IF(AQ14&gt;6.5,"GoodReg",IF(AQ14&gt;5,"Reg",IF(AQ14&gt;4,"Bench","Minors")))))</f>
        <v>GoodReg</v>
      </c>
      <c r="AS14" s="313">
        <f>AVERAGE(V14,X14,Y14)+IF(OR(V14&gt;7,AND(V14&gt;5,Y14&gt;5)),0.5,0)+IF(X14&gt;7,0.25,0)+IF(V14&lt;6,-0.5*(6-V14),0)</f>
        <v>7.416666666666667</v>
      </c>
      <c r="AT14" s="313" t="str">
        <f>IF(AS14&gt;9,"SuperStar",IF(AS14&gt;8,"Star",IF(AS14&gt;6.5,"GoodReg",IF(AS14&gt;5,"Reg",IF(AS14&gt;4,"Bench","Minors")))))</f>
        <v>GoodReg</v>
      </c>
      <c r="AU14" s="314">
        <f>MIN(AQ14+(MAX(0,25-J14))^1.5,AS14)</f>
        <v>7.416666666666667</v>
      </c>
      <c r="AV14" s="314" t="str">
        <f>IF(AU14&gt;9,"SuperStar",IF(AU14&gt;8,"Star",IF(AU14&gt;6.5,"GoodReg",IF(AU14&gt;5,"Reg",IF(AU14&gt;4,"Bench","Minors")))))</f>
        <v>GoodReg</v>
      </c>
      <c r="AW14" s="315">
        <f>IF(AND(OR(Q14+T14&gt;12,AND(Q14&gt;6,T14&gt;6)),AL14&gt;6,OR(AM14&gt;=AL14,AM14&gt;6)),1,0)</f>
        <v>0</v>
      </c>
      <c r="AX14" s="316">
        <f>IF(OR(AND(Q14&gt;6,U14&gt;6),Q14+T14&gt;12),1,0)</f>
        <v>0</v>
      </c>
      <c r="AY14" s="316">
        <f>IF(AND(Q14&gt;6,S14&gt;6,T14&gt;6),1,0)</f>
        <v>0</v>
      </c>
      <c r="AZ14" s="316">
        <f>IF(AND(S14&gt;7,OR(Q14&gt;6,T14&gt;6)),1,0)</f>
        <v>0</v>
      </c>
      <c r="BA14" s="316">
        <f>IF(AND(S14&gt;6,OR(Q14&gt;6,T14&gt;6)),1,0)</f>
        <v>0</v>
      </c>
      <c r="BB14" s="316">
        <f>IF(AND(OR(Q14&gt;6,S14&gt;6),OR(Q14&gt;6,T14&gt;6)),1,0)</f>
        <v>0</v>
      </c>
      <c r="BC14" s="316">
        <f>IF(AND(Q14&gt;4,OR(Q14&gt;6,S14&gt;6,T14&gt;6)),1,0)</f>
        <v>1</v>
      </c>
      <c r="BD14" s="316">
        <f>IF(AND(Q14&gt;4,OR(Q14&gt;6,R14&gt;6,S14&gt;6,T14&gt;6)),1,0)</f>
        <v>1</v>
      </c>
      <c r="BE14" s="311">
        <f>IF(AND(Q14&gt;4,MAX(Q14:U14)&gt;6),1,0)</f>
        <v>1</v>
      </c>
      <c r="BF14" s="315">
        <f>IF(AND(OR(V14+Y14&gt;12,AND(V14&gt;6,Y14&gt;6)),AL14&gt;6,OR(AM14&gt;=AL14,AM14&gt;6)),1,0)</f>
        <v>0</v>
      </c>
      <c r="BG14" s="316">
        <f>IF(OR(AND(V14&gt;6,Z14&gt;6),V14+Y14&gt;12),1,0)</f>
        <v>0</v>
      </c>
      <c r="BH14" s="316">
        <f>IF(AND(V14&gt;6,X14&gt;6,Y14&gt;6),1,0)</f>
        <v>0</v>
      </c>
      <c r="BI14" s="316">
        <f>IF(AND(X14&gt;7,OR(V14&gt;6,Y14&gt;6)),1,0)</f>
        <v>0</v>
      </c>
      <c r="BJ14" s="316">
        <f>IF(AND(X14&gt;6,OR(V14&gt;6,Y14&gt;6)),1,0)</f>
        <v>0</v>
      </c>
      <c r="BK14" s="316">
        <f>IF(AND(OR(V14&gt;6,X14&gt;6),OR(V14&gt;6,Y14&gt;6)),1,0)</f>
        <v>0</v>
      </c>
      <c r="BL14" s="316">
        <f>IF(AND(V14&gt;4,OR(V14&gt;6,X14&gt;6,Y14&gt;6)),1,0)</f>
        <v>1</v>
      </c>
      <c r="BM14" s="316">
        <f>IF(AND(V14&gt;4,OR(V14&gt;6,W14&gt;6,X14&gt;6,Y14&gt;6)),1,0)</f>
        <v>1</v>
      </c>
      <c r="BN14" s="311">
        <f>IF(AND(V14&gt;4,MAX(V14:Z14)&gt;6),1,0)</f>
        <v>1</v>
      </c>
      <c r="BO14" s="311">
        <f>IF(AVERAGE(AL14:AM14)&gt;9,1,0)+IF(AVERAGE(AL14:AM14)&gt;7,1,0)+IF(AL14&gt;7,1,0)+IF(AM14&gt;7,1,0)+IF(AN14&gt;8,1,0)+IF(AN14&gt;6,1,0)</f>
        <v>0</v>
      </c>
      <c r="BP14" s="317">
        <f>IF(OR(MAX(AD14,AE14,AI14,AK14)&gt;6,MAX(AF14,AG14,AH14,AJ14)&gt;7),2,IF(MAX(AD14:AK14)&gt;4,1,0))</f>
        <v>2</v>
      </c>
      <c r="BQ14" s="310" t="str">
        <f>IF(AP14=1,"Yes","")</f>
        <v/>
      </c>
      <c r="BR14" s="309" t="str">
        <f>IF($A14="ML","There",IF(AND($V14&gt;=6,AVERAGE($X14:$Y14)&gt;=6),"Likely",IF(OR($V14&gt;6,AND($V14=6,AVERAGE($X14:$Y14)&gt;=3),AND($V14&gt;=5,AVERAGE($X14:$Y14)&gt;=5),AVERAGE($V14,$X14:$Y14)&gt;5),"Possible","Unlikely")))</f>
        <v>There</v>
      </c>
      <c r="BS14" s="310" t="str">
        <f>IF(OR(AND(Q14&gt;=6,S14+T14&gt;=12),Q14&gt;7),"Start",IF(AND(Q14&gt;=5,S14+T14&gt;=8),"Bench","aack!"))</f>
        <v>Start</v>
      </c>
      <c r="BT14" s="310" t="str">
        <f>IF(OR(AND(V14&gt;=6,X14+Y14&gt;=12),V14&gt;7),"Start",IF(AND(V14&gt;=5,X14+Y14&gt;=8),"Bench","aack!"))</f>
        <v>Start</v>
      </c>
      <c r="BU14" s="310" t="str">
        <f>IF(Q14&gt;5,"ML",IF(Q14=5,"AAA",IF(Q14=4,"AA",IF(Q14=3,"A","SS-A"))))</f>
        <v>ML</v>
      </c>
      <c r="BV14" s="310">
        <f>Q14-V14</f>
        <v>0</v>
      </c>
      <c r="BW14" s="310">
        <f>R14-W14</f>
        <v>0</v>
      </c>
      <c r="BX14" s="310">
        <f>S14-X14</f>
        <v>0</v>
      </c>
      <c r="BY14" s="310">
        <f>T14-Y14</f>
        <v>0</v>
      </c>
      <c r="BZ14" s="310">
        <f>U14-Z14</f>
        <v>0</v>
      </c>
      <c r="CA14" s="310">
        <f>SUM(BV14:BZ14)</f>
        <v>0</v>
      </c>
      <c r="CB14" s="310">
        <f>V14+X14+Y14</f>
        <v>20</v>
      </c>
      <c r="CC14" s="310">
        <f>V14+X14</f>
        <v>14</v>
      </c>
      <c r="CD14" s="310">
        <f>V14+Y14</f>
        <v>12</v>
      </c>
      <c r="CE14" s="310" t="str">
        <f>IF(J14&gt;24,"Now - Age",IF(Q14&gt;6,"Now",IF(V14&lt;6,"With Dev",MIN(V14-Q14,7-Q14))))</f>
        <v>Now - Age</v>
      </c>
      <c r="CF14" s="325" t="str">
        <f t="shared" si="3"/>
        <v/>
      </c>
      <c r="CG14" s="325" t="str">
        <f t="shared" si="5"/>
        <v>X</v>
      </c>
      <c r="CH14" s="325" t="str">
        <f t="shared" si="6"/>
        <v/>
      </c>
      <c r="CI14" s="325" t="str">
        <f t="shared" si="7"/>
        <v/>
      </c>
      <c r="CJ14" s="325" t="str">
        <f t="shared" si="8"/>
        <v/>
      </c>
      <c r="CK14" s="325" t="str">
        <f t="shared" si="9"/>
        <v/>
      </c>
      <c r="CL14" s="325" t="str">
        <f t="shared" si="10"/>
        <v/>
      </c>
      <c r="CM14" s="325" t="str">
        <f t="shared" si="11"/>
        <v/>
      </c>
      <c r="CN14" s="325" t="str">
        <f t="shared" si="4"/>
        <v/>
      </c>
    </row>
    <row r="15" spans="1:92">
      <c r="A15" s="308" t="s">
        <v>212</v>
      </c>
      <c r="B15" s="309" t="s">
        <v>102</v>
      </c>
      <c r="C15" s="310">
        <f>IF(BH15=1,3,IF(BI15=1,4,IF(BF15=1,1,IF(BJ15=1,5,IF(BG15=1,2,IF(BK15=1,6,IF(BL15=1,7,IF(BM15=1,8,IF(BN15=1,9,"-")))))))))</f>
        <v>1</v>
      </c>
      <c r="D15" s="310">
        <f>IF(AY15=1,3,IF(AZ15=1,4,IF(AW15=1,1,IF(BA15=1,5,IF(AX15=1,2,IF(BB15=1,6,IF(BC15=1,7,IF(BD15=1,8,IF(BE15=1,9,"-")))))))))</f>
        <v>1</v>
      </c>
      <c r="E15" s="310" t="str">
        <f>IF(OR(OR(O15="Very High",O15="High"),AND(OR(O15="Very High",O15="High",O15="Normal"),OR(P15="Very High",P15="High"))),"K","T")</f>
        <v>T</v>
      </c>
      <c r="F15" s="310" t="s">
        <v>102</v>
      </c>
      <c r="G15" s="310" t="s">
        <v>497</v>
      </c>
      <c r="H15" s="310" t="s">
        <v>25</v>
      </c>
      <c r="I15" s="310" t="s">
        <v>212</v>
      </c>
      <c r="J15" s="310">
        <v>28</v>
      </c>
      <c r="K15" s="310" t="s">
        <v>106</v>
      </c>
      <c r="L15" s="310" t="s">
        <v>106</v>
      </c>
      <c r="M15" s="310" t="s">
        <v>40</v>
      </c>
      <c r="N15" s="311" t="s">
        <v>48</v>
      </c>
      <c r="O15" s="310" t="s">
        <v>230</v>
      </c>
      <c r="P15" s="311" t="s">
        <v>231</v>
      </c>
      <c r="Q15" s="310">
        <v>6</v>
      </c>
      <c r="R15" s="310">
        <v>7</v>
      </c>
      <c r="S15" s="310">
        <v>6</v>
      </c>
      <c r="T15" s="310">
        <v>8</v>
      </c>
      <c r="U15" s="311">
        <v>5</v>
      </c>
      <c r="V15" s="310">
        <v>6</v>
      </c>
      <c r="W15" s="310">
        <v>7</v>
      </c>
      <c r="X15" s="310">
        <v>6</v>
      </c>
      <c r="Y15" s="310">
        <v>8</v>
      </c>
      <c r="Z15" s="311">
        <v>5</v>
      </c>
      <c r="AA15" s="310">
        <v>1</v>
      </c>
      <c r="AB15" s="310">
        <v>9</v>
      </c>
      <c r="AC15" s="310">
        <v>1</v>
      </c>
      <c r="AD15" s="310" t="s">
        <v>41</v>
      </c>
      <c r="AE15" s="310" t="s">
        <v>41</v>
      </c>
      <c r="AF15" s="310" t="s">
        <v>41</v>
      </c>
      <c r="AG15" s="310" t="s">
        <v>41</v>
      </c>
      <c r="AH15" s="310" t="s">
        <v>41</v>
      </c>
      <c r="AI15" s="310">
        <v>8</v>
      </c>
      <c r="AJ15" s="310">
        <v>10</v>
      </c>
      <c r="AK15" s="311">
        <v>4</v>
      </c>
      <c r="AL15" s="310">
        <v>10</v>
      </c>
      <c r="AM15" s="310">
        <v>10</v>
      </c>
      <c r="AN15" s="311">
        <v>10</v>
      </c>
      <c r="AO15" s="312">
        <v>14700000</v>
      </c>
      <c r="AP15" s="311" t="s">
        <v>46</v>
      </c>
      <c r="AQ15" s="313">
        <f>AVERAGE(Q15,S15,T15)+IF(OR(Q15&gt;7,AND(Q15&gt;5,T15&gt;5)),0.5,0)+IF(S15&gt;7,0.25,0)+IF(Q15&lt;6,-0.5*(6-Q15),0)</f>
        <v>7.166666666666667</v>
      </c>
      <c r="AR15" s="314" t="str">
        <f>IF(AQ15&gt;9,"SuperStar",IF(AQ15&gt;8,"Star",IF(AQ15&gt;6.5,"GoodReg",IF(AQ15&gt;5,"Reg",IF(AQ15&gt;4,"Bench","Minors")))))</f>
        <v>GoodReg</v>
      </c>
      <c r="AS15" s="313">
        <f>AVERAGE(V15,X15,Y15)+IF(OR(V15&gt;7,AND(V15&gt;5,Y15&gt;5)),0.5,0)+IF(X15&gt;7,0.25,0)+IF(V15&lt;6,-0.5*(6-V15),0)</f>
        <v>7.166666666666667</v>
      </c>
      <c r="AT15" s="313" t="str">
        <f>IF(AS15&gt;9,"SuperStar",IF(AS15&gt;8,"Star",IF(AS15&gt;6.5,"GoodReg",IF(AS15&gt;5,"Reg",IF(AS15&gt;4,"Bench","Minors")))))</f>
        <v>GoodReg</v>
      </c>
      <c r="AU15" s="314">
        <f>MIN(AQ15+(MAX(0,25-J15))^1.5,AS15)</f>
        <v>7.166666666666667</v>
      </c>
      <c r="AV15" s="314" t="str">
        <f>IF(AU15&gt;9,"SuperStar",IF(AU15&gt;8,"Star",IF(AU15&gt;6.5,"GoodReg",IF(AU15&gt;5,"Reg",IF(AU15&gt;4,"Bench","Minors")))))</f>
        <v>GoodReg</v>
      </c>
      <c r="AW15" s="315">
        <f>IF(AND(OR(Q15+T15&gt;12,AND(Q15&gt;6,T15&gt;6)),AL15&gt;6,OR(AM15&gt;=AL15,AM15&gt;6)),1,0)</f>
        <v>1</v>
      </c>
      <c r="AX15" s="316">
        <f>IF(OR(AND(Q15&gt;6,U15&gt;6),Q15+T15&gt;12),1,0)</f>
        <v>1</v>
      </c>
      <c r="AY15" s="316">
        <f>IF(AND(Q15&gt;6,S15&gt;6,T15&gt;6),1,0)</f>
        <v>0</v>
      </c>
      <c r="AZ15" s="316">
        <f>IF(AND(S15&gt;7,OR(Q15&gt;6,T15&gt;6)),1,0)</f>
        <v>0</v>
      </c>
      <c r="BA15" s="316">
        <f>IF(AND(S15&gt;6,OR(Q15&gt;6,T15&gt;6)),1,0)</f>
        <v>0</v>
      </c>
      <c r="BB15" s="316">
        <f>IF(AND(OR(Q15&gt;6,S15&gt;6),OR(Q15&gt;6,T15&gt;6)),1,0)</f>
        <v>0</v>
      </c>
      <c r="BC15" s="316">
        <f>IF(AND(Q15&gt;4,OR(Q15&gt;6,S15&gt;6,T15&gt;6)),1,0)</f>
        <v>1</v>
      </c>
      <c r="BD15" s="316">
        <f>IF(AND(Q15&gt;4,OR(Q15&gt;6,R15&gt;6,S15&gt;6,T15&gt;6)),1,0)</f>
        <v>1</v>
      </c>
      <c r="BE15" s="311">
        <f>IF(AND(Q15&gt;4,MAX(Q15:U15)&gt;6),1,0)</f>
        <v>1</v>
      </c>
      <c r="BF15" s="315">
        <f>IF(AND(OR(V15+Y15&gt;12,AND(V15&gt;6,Y15&gt;6)),AL15&gt;6,OR(AM15&gt;=AL15,AM15&gt;6)),1,0)</f>
        <v>1</v>
      </c>
      <c r="BG15" s="316">
        <f>IF(OR(AND(V15&gt;6,Z15&gt;6),V15+Y15&gt;12),1,0)</f>
        <v>1</v>
      </c>
      <c r="BH15" s="316">
        <f>IF(AND(V15&gt;6,X15&gt;6,Y15&gt;6),1,0)</f>
        <v>0</v>
      </c>
      <c r="BI15" s="316">
        <f>IF(AND(X15&gt;7,OR(V15&gt;6,Y15&gt;6)),1,0)</f>
        <v>0</v>
      </c>
      <c r="BJ15" s="316">
        <f>IF(AND(X15&gt;6,OR(V15&gt;6,Y15&gt;6)),1,0)</f>
        <v>0</v>
      </c>
      <c r="BK15" s="316">
        <f>IF(AND(OR(V15&gt;6,X15&gt;6),OR(V15&gt;6,Y15&gt;6)),1,0)</f>
        <v>0</v>
      </c>
      <c r="BL15" s="316">
        <f>IF(AND(V15&gt;4,OR(V15&gt;6,X15&gt;6,Y15&gt;6)),1,0)</f>
        <v>1</v>
      </c>
      <c r="BM15" s="316">
        <f>IF(AND(V15&gt;4,OR(V15&gt;6,W15&gt;6,X15&gt;6,Y15&gt;6)),1,0)</f>
        <v>1</v>
      </c>
      <c r="BN15" s="311">
        <f>IF(AND(V15&gt;4,MAX(V15:Z15)&gt;6),1,0)</f>
        <v>1</v>
      </c>
      <c r="BO15" s="311">
        <f>IF(AVERAGE(AL15:AM15)&gt;9,1,0)+IF(AVERAGE(AL15:AM15)&gt;7,1,0)+IF(AL15&gt;7,1,0)+IF(AM15&gt;7,1,0)+IF(AN15&gt;8,1,0)+IF(AN15&gt;6,1,0)</f>
        <v>6</v>
      </c>
      <c r="BP15" s="317">
        <f>IF(OR(MAX(AD15,AE15,AI15,AK15)&gt;6,MAX(AF15,AG15,AH15,AJ15)&gt;7),2,IF(MAX(AD15:AK15)&gt;4,1,0))</f>
        <v>2</v>
      </c>
      <c r="BQ15" s="310" t="str">
        <f>IF(AP15=1,"Yes","")</f>
        <v/>
      </c>
      <c r="BR15" s="309" t="str">
        <f>IF($A15="ML","There",IF(AND($V15&gt;=6,AVERAGE($X15:$Y15)&gt;=6),"Likely",IF(OR($V15&gt;6,AND($V15=6,AVERAGE($X15:$Y15)&gt;=3),AND($V15&gt;=5,AVERAGE($X15:$Y15)&gt;=5),AVERAGE($V15,$X15:$Y15)&gt;5),"Possible","Unlikely")))</f>
        <v>There</v>
      </c>
      <c r="BS15" s="310" t="str">
        <f>IF(OR(AND(Q15&gt;=6,S15+T15&gt;=12),Q15&gt;7),"Start",IF(AND(Q15&gt;=5,S15+T15&gt;=8),"Bench","aack!"))</f>
        <v>Start</v>
      </c>
      <c r="BT15" s="310" t="str">
        <f>IF(OR(AND(V15&gt;=6,X15+Y15&gt;=12),V15&gt;7),"Start",IF(AND(V15&gt;=5,X15+Y15&gt;=8),"Bench","aack!"))</f>
        <v>Start</v>
      </c>
      <c r="BU15" s="310" t="str">
        <f>IF(Q15&gt;5,"ML",IF(Q15=5,"AAA",IF(Q15=4,"AA",IF(Q15=3,"A","SS-A"))))</f>
        <v>ML</v>
      </c>
      <c r="BV15" s="310">
        <f>Q15-V15</f>
        <v>0</v>
      </c>
      <c r="BW15" s="310">
        <f>R15-W15</f>
        <v>0</v>
      </c>
      <c r="BX15" s="310">
        <f>S15-X15</f>
        <v>0</v>
      </c>
      <c r="BY15" s="310">
        <f>T15-Y15</f>
        <v>0</v>
      </c>
      <c r="BZ15" s="310">
        <f>U15-Z15</f>
        <v>0</v>
      </c>
      <c r="CA15" s="310">
        <f>SUM(BV15:BZ15)</f>
        <v>0</v>
      </c>
      <c r="CB15" s="310">
        <f>V15+X15+Y15</f>
        <v>20</v>
      </c>
      <c r="CC15" s="310">
        <f>V15+X15</f>
        <v>12</v>
      </c>
      <c r="CD15" s="310">
        <f>V15+Y15</f>
        <v>14</v>
      </c>
      <c r="CE15" s="310" t="str">
        <f>IF(J15&gt;24,"Now - Age",IF(Q15&gt;6,"Now",IF(V15&lt;6,"With Dev",MIN(V15-Q15,7-Q15))))</f>
        <v>Now - Age</v>
      </c>
      <c r="CF15" s="325" t="str">
        <f t="shared" si="3"/>
        <v/>
      </c>
      <c r="CG15" s="325" t="str">
        <f t="shared" si="5"/>
        <v/>
      </c>
      <c r="CH15" s="325" t="str">
        <f t="shared" si="6"/>
        <v/>
      </c>
      <c r="CI15" s="325" t="str">
        <f t="shared" si="7"/>
        <v/>
      </c>
      <c r="CJ15" s="325" t="str">
        <f t="shared" si="8"/>
        <v/>
      </c>
      <c r="CK15" s="325" t="str">
        <f t="shared" si="9"/>
        <v>X</v>
      </c>
      <c r="CL15" s="325" t="str">
        <f t="shared" si="10"/>
        <v>X</v>
      </c>
      <c r="CM15" s="325" t="str">
        <f t="shared" si="11"/>
        <v/>
      </c>
      <c r="CN15" s="325" t="str">
        <f t="shared" si="4"/>
        <v/>
      </c>
    </row>
    <row r="16" spans="1:92">
      <c r="A16" s="308" t="s">
        <v>212</v>
      </c>
      <c r="B16" s="309" t="s">
        <v>103</v>
      </c>
      <c r="C16" s="310">
        <f>IF(BH16=1,3,IF(BI16=1,4,IF(BF16=1,1,IF(BJ16=1,5,IF(BG16=1,2,IF(BK16=1,6,IF(BL16=1,7,IF(BM16=1,8,IF(BN16=1,9,"-")))))))))</f>
        <v>1</v>
      </c>
      <c r="D16" s="310">
        <f>IF(AY16=1,3,IF(AZ16=1,4,IF(AW16=1,1,IF(BA16=1,5,IF(AX16=1,2,IF(BB16=1,6,IF(BC16=1,7,IF(BD16=1,8,IF(BE16=1,9,"-")))))))))</f>
        <v>1</v>
      </c>
      <c r="E16" s="310" t="str">
        <f>IF(OR(OR(O16="Very High",O16="High"),AND(OR(O16="Very High",O16="High",O16="Normal"),OR(P16="Very High",P16="High"))),"K","T")</f>
        <v>K</v>
      </c>
      <c r="F16" s="310" t="s">
        <v>103</v>
      </c>
      <c r="G16" s="310" t="s">
        <v>395</v>
      </c>
      <c r="H16" s="310" t="s">
        <v>25</v>
      </c>
      <c r="I16" s="310" t="s">
        <v>212</v>
      </c>
      <c r="J16" s="310">
        <v>24</v>
      </c>
      <c r="K16" s="310" t="s">
        <v>106</v>
      </c>
      <c r="L16" s="310" t="s">
        <v>107</v>
      </c>
      <c r="M16" s="310" t="s">
        <v>48</v>
      </c>
      <c r="N16" s="311" t="s">
        <v>44</v>
      </c>
      <c r="O16" s="310" t="s">
        <v>228</v>
      </c>
      <c r="P16" s="311" t="s">
        <v>231</v>
      </c>
      <c r="Q16" s="310">
        <v>10</v>
      </c>
      <c r="R16" s="310">
        <v>7</v>
      </c>
      <c r="S16" s="310">
        <v>4</v>
      </c>
      <c r="T16" s="310">
        <v>6</v>
      </c>
      <c r="U16" s="311">
        <v>8</v>
      </c>
      <c r="V16" s="310">
        <v>10</v>
      </c>
      <c r="W16" s="310">
        <v>7</v>
      </c>
      <c r="X16" s="310">
        <v>5</v>
      </c>
      <c r="Y16" s="310">
        <v>6</v>
      </c>
      <c r="Z16" s="311">
        <v>8</v>
      </c>
      <c r="AA16" s="310">
        <v>1</v>
      </c>
      <c r="AB16" s="310">
        <v>10</v>
      </c>
      <c r="AC16" s="310">
        <v>1</v>
      </c>
      <c r="AD16" s="310" t="s">
        <v>41</v>
      </c>
      <c r="AE16" s="310" t="s">
        <v>41</v>
      </c>
      <c r="AF16" s="310" t="s">
        <v>41</v>
      </c>
      <c r="AG16" s="310" t="s">
        <v>41</v>
      </c>
      <c r="AH16" s="310" t="s">
        <v>41</v>
      </c>
      <c r="AI16" s="310">
        <v>7</v>
      </c>
      <c r="AJ16" s="310">
        <v>9</v>
      </c>
      <c r="AK16" s="311">
        <v>10</v>
      </c>
      <c r="AL16" s="310">
        <v>7</v>
      </c>
      <c r="AM16" s="310">
        <v>9</v>
      </c>
      <c r="AN16" s="311">
        <v>7</v>
      </c>
      <c r="AO16" s="312">
        <v>490000</v>
      </c>
      <c r="AP16" s="311" t="s">
        <v>45</v>
      </c>
      <c r="AQ16" s="313">
        <f>AVERAGE(Q16,S16,T16)+IF(OR(Q16&gt;7,AND(Q16&gt;5,T16&gt;5)),0.5,0)+IF(S16&gt;7,0.25,0)+IF(Q16&lt;6,-0.5*(6-Q16),0)</f>
        <v>7.166666666666667</v>
      </c>
      <c r="AR16" s="314" t="str">
        <f>IF(AQ16&gt;9,"SuperStar",IF(AQ16&gt;8,"Star",IF(AQ16&gt;6.5,"GoodReg",IF(AQ16&gt;5,"Reg",IF(AQ16&gt;4,"Bench","Minors")))))</f>
        <v>GoodReg</v>
      </c>
      <c r="AS16" s="313">
        <f>AVERAGE(V16,X16,Y16)+IF(OR(V16&gt;7,AND(V16&gt;5,Y16&gt;5)),0.5,0)+IF(X16&gt;7,0.25,0)+IF(V16&lt;6,-0.5*(6-V16),0)</f>
        <v>7.5</v>
      </c>
      <c r="AT16" s="313" t="str">
        <f>IF(AS16&gt;9,"SuperStar",IF(AS16&gt;8,"Star",IF(AS16&gt;6.5,"GoodReg",IF(AS16&gt;5,"Reg",IF(AS16&gt;4,"Bench","Minors")))))</f>
        <v>GoodReg</v>
      </c>
      <c r="AU16" s="314">
        <f>MIN(AQ16+(MAX(0,25-J16))^1.5,AS16)</f>
        <v>7.5</v>
      </c>
      <c r="AV16" s="314" t="str">
        <f>IF(AU16&gt;9,"SuperStar",IF(AU16&gt;8,"Star",IF(AU16&gt;6.5,"GoodReg",IF(AU16&gt;5,"Reg",IF(AU16&gt;4,"Bench","Minors")))))</f>
        <v>GoodReg</v>
      </c>
      <c r="AW16" s="315">
        <f>IF(AND(OR(Q16+T16&gt;12,AND(Q16&gt;6,T16&gt;6)),AL16&gt;6,OR(AM16&gt;=AL16,AM16&gt;6)),1,0)</f>
        <v>1</v>
      </c>
      <c r="AX16" s="316">
        <f>IF(OR(AND(Q16&gt;6,U16&gt;6),Q16+T16&gt;12),1,0)</f>
        <v>1</v>
      </c>
      <c r="AY16" s="316">
        <f>IF(AND(Q16&gt;6,S16&gt;6,T16&gt;6),1,0)</f>
        <v>0</v>
      </c>
      <c r="AZ16" s="316">
        <f>IF(AND(S16&gt;7,OR(Q16&gt;6,T16&gt;6)),1,0)</f>
        <v>0</v>
      </c>
      <c r="BA16" s="316">
        <f>IF(AND(S16&gt;6,OR(Q16&gt;6,T16&gt;6)),1,0)</f>
        <v>0</v>
      </c>
      <c r="BB16" s="316">
        <f>IF(AND(OR(Q16&gt;6,S16&gt;6),OR(Q16&gt;6,T16&gt;6)),1,0)</f>
        <v>1</v>
      </c>
      <c r="BC16" s="316">
        <f>IF(AND(Q16&gt;4,OR(Q16&gt;6,S16&gt;6,T16&gt;6)),1,0)</f>
        <v>1</v>
      </c>
      <c r="BD16" s="316">
        <f>IF(AND(Q16&gt;4,OR(Q16&gt;6,R16&gt;6,S16&gt;6,T16&gt;6)),1,0)</f>
        <v>1</v>
      </c>
      <c r="BE16" s="311">
        <f>IF(AND(Q16&gt;4,MAX(Q16:U16)&gt;6),1,0)</f>
        <v>1</v>
      </c>
      <c r="BF16" s="315">
        <f>IF(AND(OR(V16+Y16&gt;12,AND(V16&gt;6,Y16&gt;6)),AL16&gt;6,OR(AM16&gt;=AL16,AM16&gt;6)),1,0)</f>
        <v>1</v>
      </c>
      <c r="BG16" s="316">
        <f>IF(OR(AND(V16&gt;6,Z16&gt;6),V16+Y16&gt;12),1,0)</f>
        <v>1</v>
      </c>
      <c r="BH16" s="316">
        <f>IF(AND(V16&gt;6,X16&gt;6,Y16&gt;6),1,0)</f>
        <v>0</v>
      </c>
      <c r="BI16" s="316">
        <f>IF(AND(X16&gt;7,OR(V16&gt;6,Y16&gt;6)),1,0)</f>
        <v>0</v>
      </c>
      <c r="BJ16" s="316">
        <f>IF(AND(X16&gt;6,OR(V16&gt;6,Y16&gt;6)),1,0)</f>
        <v>0</v>
      </c>
      <c r="BK16" s="316">
        <f>IF(AND(OR(V16&gt;6,X16&gt;6),OR(V16&gt;6,Y16&gt;6)),1,0)</f>
        <v>1</v>
      </c>
      <c r="BL16" s="316">
        <f>IF(AND(V16&gt;4,OR(V16&gt;6,X16&gt;6,Y16&gt;6)),1,0)</f>
        <v>1</v>
      </c>
      <c r="BM16" s="316">
        <f>IF(AND(V16&gt;4,OR(V16&gt;6,W16&gt;6,X16&gt;6,Y16&gt;6)),1,0)</f>
        <v>1</v>
      </c>
      <c r="BN16" s="311">
        <f>IF(AND(V16&gt;4,MAX(V16:Z16)&gt;6),1,0)</f>
        <v>1</v>
      </c>
      <c r="BO16" s="311">
        <f>IF(AVERAGE(AL16:AM16)&gt;9,1,0)+IF(AVERAGE(AL16:AM16)&gt;7,1,0)+IF(AL16&gt;7,1,0)+IF(AM16&gt;7,1,0)+IF(AN16&gt;8,1,0)+IF(AN16&gt;6,1,0)</f>
        <v>3</v>
      </c>
      <c r="BP16" s="317">
        <f>IF(OR(MAX(AD16,AE16,AI16,AK16)&gt;6,MAX(AF16,AG16,AH16,AJ16)&gt;7),2,IF(MAX(AD16:AK16)&gt;4,1,0))</f>
        <v>2</v>
      </c>
      <c r="BQ16" s="310" t="str">
        <f>IF(AP16=1,"Yes","")</f>
        <v/>
      </c>
      <c r="BR16" s="309" t="str">
        <f>IF($A16="ML","There",IF(AND($V16&gt;=6,AVERAGE($X16:$Y16)&gt;=6),"Likely",IF(OR($V16&gt;6,AND($V16=6,AVERAGE($X16:$Y16)&gt;=3),AND($V16&gt;=5,AVERAGE($X16:$Y16)&gt;=5),AVERAGE($V16,$X16:$Y16)&gt;5),"Possible","Unlikely")))</f>
        <v>There</v>
      </c>
      <c r="BS16" s="310" t="str">
        <f>IF(OR(AND(Q16&gt;=6,S16+T16&gt;=12),Q16&gt;7),"Start",IF(AND(Q16&gt;=5,S16+T16&gt;=8),"Bench","aack!"))</f>
        <v>Start</v>
      </c>
      <c r="BT16" s="310" t="str">
        <f>IF(OR(AND(V16&gt;=6,X16+Y16&gt;=12),V16&gt;7),"Start",IF(AND(V16&gt;=5,X16+Y16&gt;=8),"Bench","aack!"))</f>
        <v>Start</v>
      </c>
      <c r="BU16" s="310" t="str">
        <f>IF(Q16&gt;5,"ML",IF(Q16=5,"AAA",IF(Q16=4,"AA",IF(Q16=3,"A","SS-A"))))</f>
        <v>ML</v>
      </c>
      <c r="BV16" s="310">
        <f>Q16-V16</f>
        <v>0</v>
      </c>
      <c r="BW16" s="310">
        <f>R16-W16</f>
        <v>0</v>
      </c>
      <c r="BX16" s="310">
        <f>S16-X16</f>
        <v>-1</v>
      </c>
      <c r="BY16" s="310">
        <f>T16-Y16</f>
        <v>0</v>
      </c>
      <c r="BZ16" s="310">
        <f>U16-Z16</f>
        <v>0</v>
      </c>
      <c r="CA16" s="310">
        <f>SUM(BV16:BZ16)</f>
        <v>-1</v>
      </c>
      <c r="CB16" s="310">
        <f>V16+X16+Y16</f>
        <v>21</v>
      </c>
      <c r="CC16" s="310">
        <f>V16+X16</f>
        <v>15</v>
      </c>
      <c r="CD16" s="310">
        <f>V16+Y16</f>
        <v>16</v>
      </c>
      <c r="CE16" s="310" t="str">
        <f>IF(J16&gt;24,"Now - Age",IF(Q16&gt;6,"Now",IF(V16&lt;6,"With Dev",MIN(V16-Q16,7-Q16))))</f>
        <v>Now</v>
      </c>
      <c r="CF16" s="325" t="str">
        <f t="shared" si="3"/>
        <v/>
      </c>
      <c r="CG16" s="325" t="str">
        <f t="shared" si="5"/>
        <v/>
      </c>
      <c r="CH16" s="325" t="str">
        <f t="shared" si="6"/>
        <v/>
      </c>
      <c r="CI16" s="325" t="str">
        <f t="shared" si="7"/>
        <v/>
      </c>
      <c r="CJ16" s="325" t="str">
        <f t="shared" si="8"/>
        <v/>
      </c>
      <c r="CK16" s="325" t="str">
        <f t="shared" si="9"/>
        <v>X</v>
      </c>
      <c r="CL16" s="325" t="str">
        <f t="shared" si="10"/>
        <v>X</v>
      </c>
      <c r="CM16" s="325" t="str">
        <f t="shared" si="11"/>
        <v>X</v>
      </c>
      <c r="CN16" s="325" t="str">
        <f t="shared" si="4"/>
        <v/>
      </c>
    </row>
    <row r="17" spans="1:92">
      <c r="A17" s="308" t="s">
        <v>212</v>
      </c>
      <c r="B17" s="309" t="s">
        <v>95</v>
      </c>
      <c r="C17" s="310">
        <f>IF(BH17=1,3,IF(BI17=1,4,IF(BF17=1,1,IF(BJ17=1,5,IF(BG17=1,2,IF(BK17=1,6,IF(BL17=1,7,IF(BM17=1,8,IF(BN17=1,9,"-")))))))))</f>
        <v>7</v>
      </c>
      <c r="D17" s="310">
        <f>IF(AY17=1,3,IF(AZ17=1,4,IF(AW17=1,1,IF(BA17=1,5,IF(AX17=1,2,IF(BB17=1,6,IF(BC17=1,7,IF(BD17=1,8,IF(BE17=1,9,"-")))))))))</f>
        <v>7</v>
      </c>
      <c r="E17" s="310" t="str">
        <f>IF(OR(OR(O17="Very High",O17="High"),AND(OR(O17="Very High",O17="High",O17="Normal"),OR(P17="Very High",P17="High"))),"K","T")</f>
        <v>K</v>
      </c>
      <c r="F17" s="310" t="s">
        <v>95</v>
      </c>
      <c r="G17" s="310" t="s">
        <v>93</v>
      </c>
      <c r="H17" s="310" t="s">
        <v>25</v>
      </c>
      <c r="I17" s="310" t="s">
        <v>212</v>
      </c>
      <c r="J17" s="310">
        <v>28</v>
      </c>
      <c r="K17" s="310" t="s">
        <v>107</v>
      </c>
      <c r="L17" s="310" t="s">
        <v>107</v>
      </c>
      <c r="M17" s="310" t="s">
        <v>44</v>
      </c>
      <c r="N17" s="311" t="s">
        <v>40</v>
      </c>
      <c r="O17" s="310" t="s">
        <v>229</v>
      </c>
      <c r="P17" s="311" t="s">
        <v>230</v>
      </c>
      <c r="Q17" s="310">
        <v>6</v>
      </c>
      <c r="R17" s="310">
        <v>9</v>
      </c>
      <c r="S17" s="310">
        <v>7</v>
      </c>
      <c r="T17" s="310">
        <v>6</v>
      </c>
      <c r="U17" s="311">
        <v>7</v>
      </c>
      <c r="V17" s="310">
        <v>6</v>
      </c>
      <c r="W17" s="310">
        <v>9</v>
      </c>
      <c r="X17" s="310">
        <v>7</v>
      </c>
      <c r="Y17" s="310">
        <v>6</v>
      </c>
      <c r="Z17" s="311">
        <v>7</v>
      </c>
      <c r="AA17" s="310">
        <v>8</v>
      </c>
      <c r="AB17" s="310">
        <v>8</v>
      </c>
      <c r="AC17" s="310">
        <v>10</v>
      </c>
      <c r="AD17" s="310">
        <v>10</v>
      </c>
      <c r="AE17" s="310">
        <v>1</v>
      </c>
      <c r="AF17" s="310" t="s">
        <v>41</v>
      </c>
      <c r="AG17" s="310" t="s">
        <v>41</v>
      </c>
      <c r="AH17" s="310" t="s">
        <v>41</v>
      </c>
      <c r="AI17" s="310" t="s">
        <v>41</v>
      </c>
      <c r="AJ17" s="310" t="s">
        <v>41</v>
      </c>
      <c r="AK17" s="311" t="s">
        <v>41</v>
      </c>
      <c r="AL17" s="310">
        <v>3</v>
      </c>
      <c r="AM17" s="310">
        <v>3</v>
      </c>
      <c r="AN17" s="311">
        <v>4</v>
      </c>
      <c r="AO17" s="312">
        <v>5400000</v>
      </c>
      <c r="AP17" s="311">
        <v>1</v>
      </c>
      <c r="AQ17" s="313">
        <f>AVERAGE(Q17,S17,T17)+IF(OR(Q17&gt;7,AND(Q17&gt;5,T17&gt;5)),0.5,0)+IF(S17&gt;7,0.25,0)+IF(Q17&lt;6,-0.5*(6-Q17),0)</f>
        <v>6.833333333333333</v>
      </c>
      <c r="AR17" s="314" t="str">
        <f>IF(AQ17&gt;9,"SuperStar",IF(AQ17&gt;8,"Star",IF(AQ17&gt;6.5,"GoodReg",IF(AQ17&gt;5,"Reg",IF(AQ17&gt;4,"Bench","Minors")))))</f>
        <v>GoodReg</v>
      </c>
      <c r="AS17" s="313">
        <f>AVERAGE(V17,X17,Y17)+IF(OR(V17&gt;7,AND(V17&gt;5,Y17&gt;5)),0.5,0)+IF(X17&gt;7,0.25,0)+IF(V17&lt;6,-0.5*(6-V17),0)</f>
        <v>6.833333333333333</v>
      </c>
      <c r="AT17" s="313" t="str">
        <f>IF(AS17&gt;9,"SuperStar",IF(AS17&gt;8,"Star",IF(AS17&gt;6.5,"GoodReg",IF(AS17&gt;5,"Reg",IF(AS17&gt;4,"Bench","Minors")))))</f>
        <v>GoodReg</v>
      </c>
      <c r="AU17" s="314">
        <f>MIN(AQ17+(MAX(0,25-J17))^1.5,AS17)</f>
        <v>6.833333333333333</v>
      </c>
      <c r="AV17" s="314" t="str">
        <f>IF(AU17&gt;9,"SuperStar",IF(AU17&gt;8,"Star",IF(AU17&gt;6.5,"GoodReg",IF(AU17&gt;5,"Reg",IF(AU17&gt;4,"Bench","Minors")))))</f>
        <v>GoodReg</v>
      </c>
      <c r="AW17" s="315">
        <f>IF(AND(OR(Q17+T17&gt;12,AND(Q17&gt;6,T17&gt;6)),AL17&gt;6,OR(AM17&gt;=AL17,AM17&gt;6)),1,0)</f>
        <v>0</v>
      </c>
      <c r="AX17" s="316">
        <f>IF(OR(AND(Q17&gt;6,U17&gt;6),Q17+T17&gt;12),1,0)</f>
        <v>0</v>
      </c>
      <c r="AY17" s="316">
        <f>IF(AND(Q17&gt;6,S17&gt;6,T17&gt;6),1,0)</f>
        <v>0</v>
      </c>
      <c r="AZ17" s="316">
        <f>IF(AND(S17&gt;7,OR(Q17&gt;6,T17&gt;6)),1,0)</f>
        <v>0</v>
      </c>
      <c r="BA17" s="316">
        <f>IF(AND(S17&gt;6,OR(Q17&gt;6,T17&gt;6)),1,0)</f>
        <v>0</v>
      </c>
      <c r="BB17" s="316">
        <f>IF(AND(OR(Q17&gt;6,S17&gt;6),OR(Q17&gt;6,T17&gt;6)),1,0)</f>
        <v>0</v>
      </c>
      <c r="BC17" s="316">
        <f>IF(AND(Q17&gt;4,OR(Q17&gt;6,S17&gt;6,T17&gt;6)),1,0)</f>
        <v>1</v>
      </c>
      <c r="BD17" s="316">
        <f>IF(AND(Q17&gt;4,OR(Q17&gt;6,R17&gt;6,S17&gt;6,T17&gt;6)),1,0)</f>
        <v>1</v>
      </c>
      <c r="BE17" s="311">
        <f>IF(AND(Q17&gt;4,MAX(Q17:U17)&gt;6),1,0)</f>
        <v>1</v>
      </c>
      <c r="BF17" s="315">
        <f>IF(AND(OR(V17+Y17&gt;12,AND(V17&gt;6,Y17&gt;6)),AL17&gt;6,OR(AM17&gt;=AL17,AM17&gt;6)),1,0)</f>
        <v>0</v>
      </c>
      <c r="BG17" s="316">
        <f>IF(OR(AND(V17&gt;6,Z17&gt;6),V17+Y17&gt;12),1,0)</f>
        <v>0</v>
      </c>
      <c r="BH17" s="316">
        <f>IF(AND(V17&gt;6,X17&gt;6,Y17&gt;6),1,0)</f>
        <v>0</v>
      </c>
      <c r="BI17" s="316">
        <f>IF(AND(X17&gt;7,OR(V17&gt;6,Y17&gt;6)),1,0)</f>
        <v>0</v>
      </c>
      <c r="BJ17" s="316">
        <f>IF(AND(X17&gt;6,OR(V17&gt;6,Y17&gt;6)),1,0)</f>
        <v>0</v>
      </c>
      <c r="BK17" s="316">
        <f>IF(AND(OR(V17&gt;6,X17&gt;6),OR(V17&gt;6,Y17&gt;6)),1,0)</f>
        <v>0</v>
      </c>
      <c r="BL17" s="316">
        <f>IF(AND(V17&gt;4,OR(V17&gt;6,X17&gt;6,Y17&gt;6)),1,0)</f>
        <v>1</v>
      </c>
      <c r="BM17" s="316">
        <f>IF(AND(V17&gt;4,OR(V17&gt;6,W17&gt;6,X17&gt;6,Y17&gt;6)),1,0)</f>
        <v>1</v>
      </c>
      <c r="BN17" s="311">
        <f>IF(AND(V17&gt;4,MAX(V17:Z17)&gt;6),1,0)</f>
        <v>1</v>
      </c>
      <c r="BO17" s="311">
        <f>IF(AVERAGE(AL17:AM17)&gt;9,1,0)+IF(AVERAGE(AL17:AM17)&gt;7,1,0)+IF(AL17&gt;7,1,0)+IF(AM17&gt;7,1,0)+IF(AN17&gt;8,1,0)+IF(AN17&gt;6,1,0)</f>
        <v>0</v>
      </c>
      <c r="BP17" s="317">
        <f>IF(OR(MAX(AD17,AE17,AI17,AK17)&gt;6,MAX(AF17,AG17,AH17,AJ17)&gt;7),2,IF(MAX(AD17:AK17)&gt;4,1,0))</f>
        <v>2</v>
      </c>
      <c r="BQ17" s="310" t="str">
        <f>IF(AP17=1,"Yes","")</f>
        <v>Yes</v>
      </c>
      <c r="BR17" s="309" t="str">
        <f>IF($A17="ML","There",IF(AND($V17&gt;=6,AVERAGE($X17:$Y17)&gt;=6),"Likely",IF(OR($V17&gt;6,AND($V17=6,AVERAGE($X17:$Y17)&gt;=3),AND($V17&gt;=5,AVERAGE($X17:$Y17)&gt;=5),AVERAGE($V17,$X17:$Y17)&gt;5),"Possible","Unlikely")))</f>
        <v>There</v>
      </c>
      <c r="BS17" s="310" t="str">
        <f>IF(OR(AND(Q17&gt;=6,S17+T17&gt;=12),Q17&gt;7),"Start",IF(AND(Q17&gt;=5,S17+T17&gt;=8),"Bench","aack!"))</f>
        <v>Start</v>
      </c>
      <c r="BT17" s="310" t="str">
        <f>IF(OR(AND(V17&gt;=6,X17+Y17&gt;=12),V17&gt;7),"Start",IF(AND(V17&gt;=5,X17+Y17&gt;=8),"Bench","aack!"))</f>
        <v>Start</v>
      </c>
      <c r="BU17" s="310" t="str">
        <f>IF(Q17&gt;5,"ML",IF(Q17=5,"AAA",IF(Q17=4,"AA",IF(Q17=3,"A","SS-A"))))</f>
        <v>ML</v>
      </c>
      <c r="BV17" s="310">
        <f>Q17-V17</f>
        <v>0</v>
      </c>
      <c r="BW17" s="310">
        <f>R17-W17</f>
        <v>0</v>
      </c>
      <c r="BX17" s="310">
        <f>S17-X17</f>
        <v>0</v>
      </c>
      <c r="BY17" s="310">
        <f>T17-Y17</f>
        <v>0</v>
      </c>
      <c r="BZ17" s="310">
        <f>U17-Z17</f>
        <v>0</v>
      </c>
      <c r="CA17" s="310">
        <f>SUM(BV17:BZ17)</f>
        <v>0</v>
      </c>
      <c r="CB17" s="310">
        <f>V17+X17+Y17</f>
        <v>19</v>
      </c>
      <c r="CC17" s="310">
        <f>V17+X17</f>
        <v>13</v>
      </c>
      <c r="CD17" s="310">
        <f>V17+Y17</f>
        <v>12</v>
      </c>
      <c r="CE17" s="310" t="str">
        <f>IF(J17&gt;24,"Now - Age",IF(Q17&gt;6,"Now",IF(V17&lt;6,"With Dev",MIN(V17-Q17,7-Q17))))</f>
        <v>Now - Age</v>
      </c>
      <c r="CF17" s="325" t="str">
        <f t="shared" si="3"/>
        <v>X</v>
      </c>
      <c r="CG17" s="325" t="str">
        <f t="shared" si="5"/>
        <v/>
      </c>
      <c r="CH17" s="325" t="str">
        <f t="shared" si="6"/>
        <v/>
      </c>
      <c r="CI17" s="325" t="str">
        <f t="shared" si="7"/>
        <v/>
      </c>
      <c r="CJ17" s="325" t="str">
        <f t="shared" si="8"/>
        <v/>
      </c>
      <c r="CK17" s="325" t="str">
        <f t="shared" si="9"/>
        <v/>
      </c>
      <c r="CL17" s="325" t="str">
        <f t="shared" si="10"/>
        <v/>
      </c>
      <c r="CM17" s="325" t="str">
        <f t="shared" si="11"/>
        <v/>
      </c>
      <c r="CN17" s="325" t="str">
        <f t="shared" si="4"/>
        <v/>
      </c>
    </row>
    <row r="18" spans="1:92">
      <c r="A18" s="308" t="s">
        <v>212</v>
      </c>
      <c r="B18" s="309" t="s">
        <v>527</v>
      </c>
      <c r="C18" s="310">
        <f>IF(BH18=1,3,IF(BI18=1,4,IF(BF18=1,1,IF(BJ18=1,5,IF(BG18=1,2,IF(BK18=1,6,IF(BL18=1,7,IF(BM18=1,8,IF(BN18=1,9,"-")))))))))</f>
        <v>2</v>
      </c>
      <c r="D18" s="310">
        <f>IF(AY18=1,3,IF(AZ18=1,4,IF(AW18=1,1,IF(BA18=1,5,IF(AX18=1,2,IF(BB18=1,6,IF(BC18=1,7,IF(BD18=1,8,IF(BE18=1,9,"-")))))))))</f>
        <v>2</v>
      </c>
      <c r="E18" s="310" t="str">
        <f>IF(OR(OR(O18="Very High",O18="High"),AND(OR(O18="Very High",O18="High",O18="Normal"),OR(P18="Very High",P18="High"))),"K","T")</f>
        <v>K</v>
      </c>
      <c r="F18" s="310" t="s">
        <v>95</v>
      </c>
      <c r="G18" s="310" t="s">
        <v>525</v>
      </c>
      <c r="H18" s="310" t="s">
        <v>25</v>
      </c>
      <c r="I18" s="310" t="s">
        <v>212</v>
      </c>
      <c r="J18" s="310">
        <v>26</v>
      </c>
      <c r="K18" s="310" t="s">
        <v>107</v>
      </c>
      <c r="L18" s="310" t="s">
        <v>107</v>
      </c>
      <c r="M18" s="310" t="s">
        <v>47</v>
      </c>
      <c r="N18" s="311" t="s">
        <v>42</v>
      </c>
      <c r="O18" s="310" t="s">
        <v>228</v>
      </c>
      <c r="P18" s="311" t="s">
        <v>230</v>
      </c>
      <c r="Q18" s="310">
        <v>6</v>
      </c>
      <c r="R18" s="310">
        <v>6</v>
      </c>
      <c r="S18" s="310">
        <v>6</v>
      </c>
      <c r="T18" s="310">
        <v>7</v>
      </c>
      <c r="U18" s="311">
        <v>6</v>
      </c>
      <c r="V18" s="310">
        <v>6</v>
      </c>
      <c r="W18" s="310">
        <v>6</v>
      </c>
      <c r="X18" s="310">
        <v>6</v>
      </c>
      <c r="Y18" s="310">
        <v>7</v>
      </c>
      <c r="Z18" s="311">
        <v>6</v>
      </c>
      <c r="AA18" s="310">
        <v>4</v>
      </c>
      <c r="AB18" s="310">
        <v>5</v>
      </c>
      <c r="AC18" s="310">
        <v>7</v>
      </c>
      <c r="AD18" s="310">
        <v>8</v>
      </c>
      <c r="AE18" s="310" t="s">
        <v>41</v>
      </c>
      <c r="AF18" s="310" t="s">
        <v>41</v>
      </c>
      <c r="AG18" s="310" t="s">
        <v>41</v>
      </c>
      <c r="AH18" s="310" t="s">
        <v>41</v>
      </c>
      <c r="AI18" s="310" t="s">
        <v>41</v>
      </c>
      <c r="AJ18" s="310" t="s">
        <v>41</v>
      </c>
      <c r="AK18" s="311" t="s">
        <v>41</v>
      </c>
      <c r="AL18" s="310">
        <v>1</v>
      </c>
      <c r="AM18" s="310">
        <v>1</v>
      </c>
      <c r="AN18" s="311">
        <v>2</v>
      </c>
      <c r="AO18" s="312">
        <v>490000</v>
      </c>
      <c r="AP18" s="311" t="s">
        <v>45</v>
      </c>
      <c r="AQ18" s="313">
        <f>AVERAGE(Q18,S18,T18)+IF(OR(Q18&gt;7,AND(Q18&gt;5,T18&gt;5)),0.5,0)+IF(S18&gt;7,0.25,0)+IF(Q18&lt;6,-0.5*(6-Q18),0)</f>
        <v>6.833333333333333</v>
      </c>
      <c r="AR18" s="314" t="str">
        <f>IF(AQ18&gt;9,"SuperStar",IF(AQ18&gt;8,"Star",IF(AQ18&gt;6.5,"GoodReg",IF(AQ18&gt;5,"Reg",IF(AQ18&gt;4,"Bench","Minors")))))</f>
        <v>GoodReg</v>
      </c>
      <c r="AS18" s="313">
        <f>AVERAGE(V18,X18,Y18)+IF(OR(V18&gt;7,AND(V18&gt;5,Y18&gt;5)),0.5,0)+IF(X18&gt;7,0.25,0)+IF(V18&lt;6,-0.5*(6-V18),0)</f>
        <v>6.833333333333333</v>
      </c>
      <c r="AT18" s="313" t="str">
        <f>IF(AS18&gt;9,"SuperStar",IF(AS18&gt;8,"Star",IF(AS18&gt;6.5,"GoodReg",IF(AS18&gt;5,"Reg",IF(AS18&gt;4,"Bench","Minors")))))</f>
        <v>GoodReg</v>
      </c>
      <c r="AU18" s="314">
        <f>MIN(AQ18+(MAX(0,25-J18))^1.5,AS18)</f>
        <v>6.833333333333333</v>
      </c>
      <c r="AV18" s="314" t="str">
        <f>IF(AU18&gt;9,"SuperStar",IF(AU18&gt;8,"Star",IF(AU18&gt;6.5,"GoodReg",IF(AU18&gt;5,"Reg",IF(AU18&gt;4,"Bench","Minors")))))</f>
        <v>GoodReg</v>
      </c>
      <c r="AW18" s="315">
        <f>IF(AND(OR(Q18+T18&gt;12,AND(Q18&gt;6,T18&gt;6)),AL18&gt;6,OR(AM18&gt;=AL18,AM18&gt;6)),1,0)</f>
        <v>0</v>
      </c>
      <c r="AX18" s="316">
        <f>IF(OR(AND(Q18&gt;6,U18&gt;6),Q18+T18&gt;12),1,0)</f>
        <v>1</v>
      </c>
      <c r="AY18" s="316">
        <f>IF(AND(Q18&gt;6,S18&gt;6,T18&gt;6),1,0)</f>
        <v>0</v>
      </c>
      <c r="AZ18" s="316">
        <f>IF(AND(S18&gt;7,OR(Q18&gt;6,T18&gt;6)),1,0)</f>
        <v>0</v>
      </c>
      <c r="BA18" s="316">
        <f>IF(AND(S18&gt;6,OR(Q18&gt;6,T18&gt;6)),1,0)</f>
        <v>0</v>
      </c>
      <c r="BB18" s="316">
        <f>IF(AND(OR(Q18&gt;6,S18&gt;6),OR(Q18&gt;6,T18&gt;6)),1,0)</f>
        <v>0</v>
      </c>
      <c r="BC18" s="316">
        <f>IF(AND(Q18&gt;4,OR(Q18&gt;6,S18&gt;6,T18&gt;6)),1,0)</f>
        <v>1</v>
      </c>
      <c r="BD18" s="316">
        <f>IF(AND(Q18&gt;4,OR(Q18&gt;6,R18&gt;6,S18&gt;6,T18&gt;6)),1,0)</f>
        <v>1</v>
      </c>
      <c r="BE18" s="311">
        <f>IF(AND(Q18&gt;4,MAX(Q18:U18)&gt;6),1,0)</f>
        <v>1</v>
      </c>
      <c r="BF18" s="315">
        <f>IF(AND(OR(V18+Y18&gt;12,AND(V18&gt;6,Y18&gt;6)),AL18&gt;6,OR(AM18&gt;=AL18,AM18&gt;6)),1,0)</f>
        <v>0</v>
      </c>
      <c r="BG18" s="316">
        <f>IF(OR(AND(V18&gt;6,Z18&gt;6),V18+Y18&gt;12),1,0)</f>
        <v>1</v>
      </c>
      <c r="BH18" s="316">
        <f>IF(AND(V18&gt;6,X18&gt;6,Y18&gt;6),1,0)</f>
        <v>0</v>
      </c>
      <c r="BI18" s="316">
        <f>IF(AND(X18&gt;7,OR(V18&gt;6,Y18&gt;6)),1,0)</f>
        <v>0</v>
      </c>
      <c r="BJ18" s="316">
        <f>IF(AND(X18&gt;6,OR(V18&gt;6,Y18&gt;6)),1,0)</f>
        <v>0</v>
      </c>
      <c r="BK18" s="316">
        <f>IF(AND(OR(V18&gt;6,X18&gt;6),OR(V18&gt;6,Y18&gt;6)),1,0)</f>
        <v>0</v>
      </c>
      <c r="BL18" s="316">
        <f>IF(AND(V18&gt;4,OR(V18&gt;6,X18&gt;6,Y18&gt;6)),1,0)</f>
        <v>1</v>
      </c>
      <c r="BM18" s="316">
        <f>IF(AND(V18&gt;4,OR(V18&gt;6,W18&gt;6,X18&gt;6,Y18&gt;6)),1,0)</f>
        <v>1</v>
      </c>
      <c r="BN18" s="311">
        <f>IF(AND(V18&gt;4,MAX(V18:Z18)&gt;6),1,0)</f>
        <v>1</v>
      </c>
      <c r="BO18" s="311">
        <f>IF(AVERAGE(AL18:AM18)&gt;9,1,0)+IF(AVERAGE(AL18:AM18)&gt;7,1,0)+IF(AL18&gt;7,1,0)+IF(AM18&gt;7,1,0)+IF(AN18&gt;8,1,0)+IF(AN18&gt;6,1,0)</f>
        <v>0</v>
      </c>
      <c r="BP18" s="317">
        <f>IF(OR(MAX(AD18,AE18,AI18,AK18)&gt;6,MAX(AF18,AG18,AH18,AJ18)&gt;7),2,IF(MAX(AD18:AK18)&gt;4,1,0))</f>
        <v>2</v>
      </c>
      <c r="BQ18" s="310" t="str">
        <f>IF(AP18=1,"Yes","")</f>
        <v/>
      </c>
      <c r="BR18" s="309" t="str">
        <f>IF($A18="ML","There",IF(AND($V18&gt;=6,AVERAGE($X18:$Y18)&gt;=6),"Likely",IF(OR($V18&gt;6,AND($V18=6,AVERAGE($X18:$Y18)&gt;=3),AND($V18&gt;=5,AVERAGE($X18:$Y18)&gt;=5),AVERAGE($V18,$X18:$Y18)&gt;5),"Possible","Unlikely")))</f>
        <v>There</v>
      </c>
      <c r="BS18" s="310" t="str">
        <f>IF(OR(AND(Q18&gt;=6,S18+T18&gt;=12),Q18&gt;7),"Start",IF(AND(Q18&gt;=5,S18+T18&gt;=8),"Bench","aack!"))</f>
        <v>Start</v>
      </c>
      <c r="BT18" s="310" t="str">
        <f>IF(OR(AND(V18&gt;=6,X18+Y18&gt;=12),V18&gt;7),"Start",IF(AND(V18&gt;=5,X18+Y18&gt;=8),"Bench","aack!"))</f>
        <v>Start</v>
      </c>
      <c r="BU18" s="310" t="str">
        <f>IF(Q18&gt;5,"ML",IF(Q18=5,"AAA",IF(Q18=4,"AA",IF(Q18=3,"A","SS-A"))))</f>
        <v>ML</v>
      </c>
      <c r="BV18" s="310">
        <f>Q18-V18</f>
        <v>0</v>
      </c>
      <c r="BW18" s="310">
        <f>R18-W18</f>
        <v>0</v>
      </c>
      <c r="BX18" s="310">
        <f>S18-X18</f>
        <v>0</v>
      </c>
      <c r="BY18" s="310">
        <f>T18-Y18</f>
        <v>0</v>
      </c>
      <c r="BZ18" s="310">
        <f>U18-Z18</f>
        <v>0</v>
      </c>
      <c r="CA18" s="310">
        <f>SUM(BV18:BZ18)</f>
        <v>0</v>
      </c>
      <c r="CB18" s="310">
        <f>V18+X18+Y18</f>
        <v>19</v>
      </c>
      <c r="CC18" s="310">
        <f>V18+X18</f>
        <v>12</v>
      </c>
      <c r="CD18" s="310">
        <f>V18+Y18</f>
        <v>13</v>
      </c>
      <c r="CE18" s="310" t="str">
        <f>IF(J18&gt;24,"Now - Age",IF(Q18&gt;6,"Now",IF(V18&lt;6,"With Dev",MIN(V18-Q18,7-Q18))))</f>
        <v>Now - Age</v>
      </c>
      <c r="CF18" s="325" t="str">
        <f t="shared" si="3"/>
        <v>X</v>
      </c>
      <c r="CG18" s="325" t="str">
        <f t="shared" si="5"/>
        <v/>
      </c>
      <c r="CH18" s="325" t="str">
        <f t="shared" si="6"/>
        <v/>
      </c>
      <c r="CI18" s="325" t="str">
        <f t="shared" si="7"/>
        <v/>
      </c>
      <c r="CJ18" s="325" t="str">
        <f t="shared" si="8"/>
        <v/>
      </c>
      <c r="CK18" s="325" t="str">
        <f t="shared" si="9"/>
        <v/>
      </c>
      <c r="CL18" s="325" t="str">
        <f t="shared" si="10"/>
        <v/>
      </c>
      <c r="CM18" s="325" t="str">
        <f t="shared" si="11"/>
        <v/>
      </c>
      <c r="CN18" s="325" t="str">
        <f t="shared" si="4"/>
        <v/>
      </c>
    </row>
    <row r="19" spans="1:92">
      <c r="A19" s="308" t="s">
        <v>212</v>
      </c>
      <c r="B19" s="309" t="s">
        <v>98</v>
      </c>
      <c r="C19" s="310">
        <f>IF(BH19=1,3,IF(BI19=1,4,IF(BF19=1,1,IF(BJ19=1,5,IF(BG19=1,2,IF(BK19=1,6,IF(BL19=1,7,IF(BM19=1,8,IF(BN19=1,9,"-")))))))))</f>
        <v>2</v>
      </c>
      <c r="D19" s="310">
        <f>IF(AY19=1,3,IF(AZ19=1,4,IF(AW19=1,1,IF(BA19=1,5,IF(AX19=1,2,IF(BB19=1,6,IF(BC19=1,7,IF(BD19=1,8,IF(BE19=1,9,"-")))))))))</f>
        <v>2</v>
      </c>
      <c r="E19" s="310" t="str">
        <f>IF(OR(OR(O19="Very High",O19="High"),AND(OR(O19="Very High",O19="High",O19="Normal"),OR(P19="Very High",P19="High"))),"K","T")</f>
        <v>K</v>
      </c>
      <c r="F19" s="310" t="s">
        <v>98</v>
      </c>
      <c r="G19" s="310" t="s">
        <v>51</v>
      </c>
      <c r="H19" s="310" t="s">
        <v>25</v>
      </c>
      <c r="I19" s="310" t="s">
        <v>212</v>
      </c>
      <c r="J19" s="310">
        <v>28</v>
      </c>
      <c r="K19" s="310" t="s">
        <v>107</v>
      </c>
      <c r="L19" s="310" t="s">
        <v>107</v>
      </c>
      <c r="M19" s="310" t="s">
        <v>42</v>
      </c>
      <c r="N19" s="311" t="s">
        <v>42</v>
      </c>
      <c r="O19" s="310" t="s">
        <v>229</v>
      </c>
      <c r="P19" s="311" t="s">
        <v>230</v>
      </c>
      <c r="Q19" s="310">
        <v>7</v>
      </c>
      <c r="R19" s="310">
        <v>6</v>
      </c>
      <c r="S19" s="310">
        <v>5</v>
      </c>
      <c r="T19" s="310">
        <v>7</v>
      </c>
      <c r="U19" s="311">
        <v>8</v>
      </c>
      <c r="V19" s="310">
        <v>7</v>
      </c>
      <c r="W19" s="310">
        <v>6</v>
      </c>
      <c r="X19" s="310">
        <v>5</v>
      </c>
      <c r="Y19" s="310">
        <v>7</v>
      </c>
      <c r="Z19" s="311">
        <v>8</v>
      </c>
      <c r="AA19" s="310">
        <v>5</v>
      </c>
      <c r="AB19" s="310">
        <v>3</v>
      </c>
      <c r="AC19" s="310">
        <v>1</v>
      </c>
      <c r="AD19" s="310" t="s">
        <v>41</v>
      </c>
      <c r="AE19" s="310">
        <v>8</v>
      </c>
      <c r="AF19" s="310">
        <v>7</v>
      </c>
      <c r="AG19" s="310">
        <v>4</v>
      </c>
      <c r="AH19" s="310">
        <v>2</v>
      </c>
      <c r="AI19" s="310" t="s">
        <v>41</v>
      </c>
      <c r="AJ19" s="310" t="s">
        <v>41</v>
      </c>
      <c r="AK19" s="311" t="s">
        <v>41</v>
      </c>
      <c r="AL19" s="310">
        <v>3</v>
      </c>
      <c r="AM19" s="310">
        <v>4</v>
      </c>
      <c r="AN19" s="311">
        <v>3</v>
      </c>
      <c r="AO19" s="312">
        <v>490000</v>
      </c>
      <c r="AP19" s="311" t="s">
        <v>45</v>
      </c>
      <c r="AQ19" s="313">
        <f>AVERAGE(Q19,S19,T19)+IF(OR(Q19&gt;7,AND(Q19&gt;5,T19&gt;5)),0.5,0)+IF(S19&gt;7,0.25,0)+IF(Q19&lt;6,-0.5*(6-Q19),0)</f>
        <v>6.833333333333333</v>
      </c>
      <c r="AR19" s="314" t="str">
        <f>IF(AQ19&gt;9,"SuperStar",IF(AQ19&gt;8,"Star",IF(AQ19&gt;6.5,"GoodReg",IF(AQ19&gt;5,"Reg",IF(AQ19&gt;4,"Bench","Minors")))))</f>
        <v>GoodReg</v>
      </c>
      <c r="AS19" s="313">
        <f>AVERAGE(V19,X19,Y19)+IF(OR(V19&gt;7,AND(V19&gt;5,Y19&gt;5)),0.5,0)+IF(X19&gt;7,0.25,0)+IF(V19&lt;6,-0.5*(6-V19),0)</f>
        <v>6.833333333333333</v>
      </c>
      <c r="AT19" s="313" t="str">
        <f>IF(AS19&gt;9,"SuperStar",IF(AS19&gt;8,"Star",IF(AS19&gt;6.5,"GoodReg",IF(AS19&gt;5,"Reg",IF(AS19&gt;4,"Bench","Minors")))))</f>
        <v>GoodReg</v>
      </c>
      <c r="AU19" s="314">
        <f>MIN(AQ19+(MAX(0,25-J19))^1.5,AS19)</f>
        <v>6.833333333333333</v>
      </c>
      <c r="AV19" s="314" t="str">
        <f>IF(AU19&gt;9,"SuperStar",IF(AU19&gt;8,"Star",IF(AU19&gt;6.5,"GoodReg",IF(AU19&gt;5,"Reg",IF(AU19&gt;4,"Bench","Minors")))))</f>
        <v>GoodReg</v>
      </c>
      <c r="AW19" s="315">
        <f>IF(AND(OR(Q19+T19&gt;12,AND(Q19&gt;6,T19&gt;6)),AL19&gt;6,OR(AM19&gt;=AL19,AM19&gt;6)),1,0)</f>
        <v>0</v>
      </c>
      <c r="AX19" s="316">
        <f>IF(OR(AND(Q19&gt;6,U19&gt;6),Q19+T19&gt;12),1,0)</f>
        <v>1</v>
      </c>
      <c r="AY19" s="316">
        <f>IF(AND(Q19&gt;6,S19&gt;6,T19&gt;6),1,0)</f>
        <v>0</v>
      </c>
      <c r="AZ19" s="316">
        <f>IF(AND(S19&gt;7,OR(Q19&gt;6,T19&gt;6)),1,0)</f>
        <v>0</v>
      </c>
      <c r="BA19" s="316">
        <f>IF(AND(S19&gt;6,OR(Q19&gt;6,T19&gt;6)),1,0)</f>
        <v>0</v>
      </c>
      <c r="BB19" s="316">
        <f>IF(AND(OR(Q19&gt;6,S19&gt;6),OR(Q19&gt;6,T19&gt;6)),1,0)</f>
        <v>1</v>
      </c>
      <c r="BC19" s="316">
        <f>IF(AND(Q19&gt;4,OR(Q19&gt;6,S19&gt;6,T19&gt;6)),1,0)</f>
        <v>1</v>
      </c>
      <c r="BD19" s="316">
        <f>IF(AND(Q19&gt;4,OR(Q19&gt;6,R19&gt;6,S19&gt;6,T19&gt;6)),1,0)</f>
        <v>1</v>
      </c>
      <c r="BE19" s="311">
        <f>IF(AND(Q19&gt;4,MAX(Q19:U19)&gt;6),1,0)</f>
        <v>1</v>
      </c>
      <c r="BF19" s="315">
        <f>IF(AND(OR(V19+Y19&gt;12,AND(V19&gt;6,Y19&gt;6)),AL19&gt;6,OR(AM19&gt;=AL19,AM19&gt;6)),1,0)</f>
        <v>0</v>
      </c>
      <c r="BG19" s="316">
        <f>IF(OR(AND(V19&gt;6,Z19&gt;6),V19+Y19&gt;12),1,0)</f>
        <v>1</v>
      </c>
      <c r="BH19" s="316">
        <f>IF(AND(V19&gt;6,X19&gt;6,Y19&gt;6),1,0)</f>
        <v>0</v>
      </c>
      <c r="BI19" s="316">
        <f>IF(AND(X19&gt;7,OR(V19&gt;6,Y19&gt;6)),1,0)</f>
        <v>0</v>
      </c>
      <c r="BJ19" s="316">
        <f>IF(AND(X19&gt;6,OR(V19&gt;6,Y19&gt;6)),1,0)</f>
        <v>0</v>
      </c>
      <c r="BK19" s="316">
        <f>IF(AND(OR(V19&gt;6,X19&gt;6),OR(V19&gt;6,Y19&gt;6)),1,0)</f>
        <v>1</v>
      </c>
      <c r="BL19" s="316">
        <f>IF(AND(V19&gt;4,OR(V19&gt;6,X19&gt;6,Y19&gt;6)),1,0)</f>
        <v>1</v>
      </c>
      <c r="BM19" s="316">
        <f>IF(AND(V19&gt;4,OR(V19&gt;6,W19&gt;6,X19&gt;6,Y19&gt;6)),1,0)</f>
        <v>1</v>
      </c>
      <c r="BN19" s="311">
        <f>IF(AND(V19&gt;4,MAX(V19:Z19)&gt;6),1,0)</f>
        <v>1</v>
      </c>
      <c r="BO19" s="311">
        <f>IF(AVERAGE(AL19:AM19)&gt;9,1,0)+IF(AVERAGE(AL19:AM19)&gt;7,1,0)+IF(AL19&gt;7,1,0)+IF(AM19&gt;7,1,0)+IF(AN19&gt;8,1,0)+IF(AN19&gt;6,1,0)</f>
        <v>0</v>
      </c>
      <c r="BP19" s="317">
        <f>IF(OR(MAX(AD19,AE19,AI19,AK19)&gt;6,MAX(AF19,AG19,AH19,AJ19)&gt;7),2,IF(MAX(AD19:AK19)&gt;4,1,0))</f>
        <v>2</v>
      </c>
      <c r="BQ19" s="310" t="str">
        <f>IF(AP19=1,"Yes","")</f>
        <v/>
      </c>
      <c r="BR19" s="309" t="str">
        <f>IF($A19="ML","There",IF(AND($V19&gt;=6,AVERAGE($X19:$Y19)&gt;=6),"Likely",IF(OR($V19&gt;6,AND($V19=6,AVERAGE($X19:$Y19)&gt;=3),AND($V19&gt;=5,AVERAGE($X19:$Y19)&gt;=5),AVERAGE($V19,$X19:$Y19)&gt;5),"Possible","Unlikely")))</f>
        <v>There</v>
      </c>
      <c r="BS19" s="310" t="str">
        <f>IF(OR(AND(Q19&gt;=6,S19+T19&gt;=12),Q19&gt;7),"Start",IF(AND(Q19&gt;=5,S19+T19&gt;=8),"Bench","aack!"))</f>
        <v>Start</v>
      </c>
      <c r="BT19" s="310" t="str">
        <f>IF(OR(AND(V19&gt;=6,X19+Y19&gt;=12),V19&gt;7),"Start",IF(AND(V19&gt;=5,X19+Y19&gt;=8),"Bench","aack!"))</f>
        <v>Start</v>
      </c>
      <c r="BU19" s="310" t="str">
        <f>IF(Q19&gt;5,"ML",IF(Q19=5,"AAA",IF(Q19=4,"AA",IF(Q19=3,"A","SS-A"))))</f>
        <v>ML</v>
      </c>
      <c r="BV19" s="310">
        <f>Q19-V19</f>
        <v>0</v>
      </c>
      <c r="BW19" s="310">
        <f>R19-W19</f>
        <v>0</v>
      </c>
      <c r="BX19" s="310">
        <f>S19-X19</f>
        <v>0</v>
      </c>
      <c r="BY19" s="310">
        <f>T19-Y19</f>
        <v>0</v>
      </c>
      <c r="BZ19" s="310">
        <f>U19-Z19</f>
        <v>0</v>
      </c>
      <c r="CA19" s="310">
        <f>SUM(BV19:BZ19)</f>
        <v>0</v>
      </c>
      <c r="CB19" s="310">
        <f>V19+X19+Y19</f>
        <v>19</v>
      </c>
      <c r="CC19" s="310">
        <f>V19+X19</f>
        <v>12</v>
      </c>
      <c r="CD19" s="310">
        <f>V19+Y19</f>
        <v>14</v>
      </c>
      <c r="CE19" s="310" t="str">
        <f>IF(J19&gt;24,"Now - Age",IF(Q19&gt;6,"Now",IF(V19&lt;6,"With Dev",MIN(V19-Q19,7-Q19))))</f>
        <v>Now - Age</v>
      </c>
      <c r="CF19" s="325" t="str">
        <f t="shared" si="3"/>
        <v/>
      </c>
      <c r="CG19" s="325" t="str">
        <f t="shared" si="5"/>
        <v>X</v>
      </c>
      <c r="CH19" s="325" t="str">
        <f t="shared" si="6"/>
        <v>X</v>
      </c>
      <c r="CI19" s="325" t="str">
        <f t="shared" si="7"/>
        <v/>
      </c>
      <c r="CJ19" s="325" t="str">
        <f t="shared" si="8"/>
        <v/>
      </c>
      <c r="CK19" s="325" t="str">
        <f t="shared" si="9"/>
        <v/>
      </c>
      <c r="CL19" s="325" t="str">
        <f t="shared" si="10"/>
        <v/>
      </c>
      <c r="CM19" s="325" t="str">
        <f t="shared" si="11"/>
        <v/>
      </c>
      <c r="CN19" s="325" t="str">
        <f t="shared" si="4"/>
        <v/>
      </c>
    </row>
    <row r="20" spans="1:92">
      <c r="A20" s="308" t="s">
        <v>212</v>
      </c>
      <c r="B20" s="309" t="s">
        <v>582</v>
      </c>
      <c r="C20" s="310">
        <f>IF(BH20=1,3,IF(BI20=1,4,IF(BF20=1,1,IF(BJ20=1,5,IF(BG20=1,2,IF(BK20=1,6,IF(BL20=1,7,IF(BM20=1,8,IF(BN20=1,9,"-")))))))))</f>
        <v>2</v>
      </c>
      <c r="D20" s="310">
        <f>IF(AY20=1,3,IF(AZ20=1,4,IF(AW20=1,1,IF(BA20=1,5,IF(AX20=1,2,IF(BB20=1,6,IF(BC20=1,7,IF(BD20=1,8,IF(BE20=1,9,"-")))))))))</f>
        <v>2</v>
      </c>
      <c r="E20" s="310" t="str">
        <f>IF(OR(OR(O20="Very High",O20="High"),AND(OR(O20="Very High",O20="High",O20="Normal"),OR(P20="Very High",P20="High"))),"K","T")</f>
        <v>T</v>
      </c>
      <c r="F20" s="310" t="s">
        <v>100</v>
      </c>
      <c r="G20" s="310" t="s">
        <v>50</v>
      </c>
      <c r="H20" s="310" t="s">
        <v>25</v>
      </c>
      <c r="I20" s="310" t="s">
        <v>212</v>
      </c>
      <c r="J20" s="310">
        <v>29</v>
      </c>
      <c r="K20" s="310" t="s">
        <v>107</v>
      </c>
      <c r="L20" s="310" t="s">
        <v>107</v>
      </c>
      <c r="M20" s="310" t="s">
        <v>47</v>
      </c>
      <c r="N20" s="311" t="s">
        <v>42</v>
      </c>
      <c r="O20" s="310" t="s">
        <v>230</v>
      </c>
      <c r="P20" s="311" t="s">
        <v>232</v>
      </c>
      <c r="Q20" s="310">
        <v>6</v>
      </c>
      <c r="R20" s="310">
        <v>6</v>
      </c>
      <c r="S20" s="310">
        <v>5</v>
      </c>
      <c r="T20" s="310">
        <v>8</v>
      </c>
      <c r="U20" s="311">
        <v>7</v>
      </c>
      <c r="V20" s="310">
        <v>6</v>
      </c>
      <c r="W20" s="310">
        <v>6</v>
      </c>
      <c r="X20" s="310">
        <v>5</v>
      </c>
      <c r="Y20" s="310">
        <v>8</v>
      </c>
      <c r="Z20" s="311">
        <v>7</v>
      </c>
      <c r="AA20" s="310">
        <v>10</v>
      </c>
      <c r="AB20" s="310">
        <v>2</v>
      </c>
      <c r="AC20" s="310">
        <v>1</v>
      </c>
      <c r="AD20" s="310" t="s">
        <v>41</v>
      </c>
      <c r="AE20" s="310">
        <v>10</v>
      </c>
      <c r="AF20" s="310">
        <v>10</v>
      </c>
      <c r="AG20" s="310">
        <v>10</v>
      </c>
      <c r="AH20" s="310">
        <v>8</v>
      </c>
      <c r="AI20" s="310" t="s">
        <v>41</v>
      </c>
      <c r="AJ20" s="310" t="s">
        <v>41</v>
      </c>
      <c r="AK20" s="311" t="s">
        <v>41</v>
      </c>
      <c r="AL20" s="310">
        <v>4</v>
      </c>
      <c r="AM20" s="310">
        <v>6</v>
      </c>
      <c r="AN20" s="311">
        <v>7</v>
      </c>
      <c r="AO20" s="312">
        <v>950000</v>
      </c>
      <c r="AP20" s="311" t="s">
        <v>46</v>
      </c>
      <c r="AQ20" s="313">
        <f>AVERAGE(Q20,S20,T20)+IF(OR(Q20&gt;7,AND(Q20&gt;5,T20&gt;5)),0.5,0)+IF(S20&gt;7,0.25,0)+IF(Q20&lt;6,-0.5*(6-Q20),0)</f>
        <v>6.833333333333333</v>
      </c>
      <c r="AR20" s="314" t="str">
        <f>IF(AQ20&gt;9,"SuperStar",IF(AQ20&gt;8,"Star",IF(AQ20&gt;6.5,"GoodReg",IF(AQ20&gt;5,"Reg",IF(AQ20&gt;4,"Bench","Minors")))))</f>
        <v>GoodReg</v>
      </c>
      <c r="AS20" s="313">
        <f>AVERAGE(V20,X20,Y20)+IF(OR(V20&gt;7,AND(V20&gt;5,Y20&gt;5)),0.5,0)+IF(X20&gt;7,0.25,0)+IF(V20&lt;6,-0.5*(6-V20),0)</f>
        <v>6.833333333333333</v>
      </c>
      <c r="AT20" s="313" t="str">
        <f>IF(AS20&gt;9,"SuperStar",IF(AS20&gt;8,"Star",IF(AS20&gt;6.5,"GoodReg",IF(AS20&gt;5,"Reg",IF(AS20&gt;4,"Bench","Minors")))))</f>
        <v>GoodReg</v>
      </c>
      <c r="AU20" s="314">
        <f>MIN(AQ20+(MAX(0,25-J20))^1.5,AS20)</f>
        <v>6.833333333333333</v>
      </c>
      <c r="AV20" s="314" t="str">
        <f>IF(AU20&gt;9,"SuperStar",IF(AU20&gt;8,"Star",IF(AU20&gt;6.5,"GoodReg",IF(AU20&gt;5,"Reg",IF(AU20&gt;4,"Bench","Minors")))))</f>
        <v>GoodReg</v>
      </c>
      <c r="AW20" s="315">
        <f>IF(AND(OR(Q20+T20&gt;12,AND(Q20&gt;6,T20&gt;6)),AL20&gt;6,OR(AM20&gt;=AL20,AM20&gt;6)),1,0)</f>
        <v>0</v>
      </c>
      <c r="AX20" s="316">
        <f>IF(OR(AND(Q20&gt;6,U20&gt;6),Q20+T20&gt;12),1,0)</f>
        <v>1</v>
      </c>
      <c r="AY20" s="316">
        <f>IF(AND(Q20&gt;6,S20&gt;6,T20&gt;6),1,0)</f>
        <v>0</v>
      </c>
      <c r="AZ20" s="316">
        <f>IF(AND(S20&gt;7,OR(Q20&gt;6,T20&gt;6)),1,0)</f>
        <v>0</v>
      </c>
      <c r="BA20" s="316">
        <f>IF(AND(S20&gt;6,OR(Q20&gt;6,T20&gt;6)),1,0)</f>
        <v>0</v>
      </c>
      <c r="BB20" s="316">
        <f>IF(AND(OR(Q20&gt;6,S20&gt;6),OR(Q20&gt;6,T20&gt;6)),1,0)</f>
        <v>0</v>
      </c>
      <c r="BC20" s="316">
        <f>IF(AND(Q20&gt;4,OR(Q20&gt;6,S20&gt;6,T20&gt;6)),1,0)</f>
        <v>1</v>
      </c>
      <c r="BD20" s="316">
        <f>IF(AND(Q20&gt;4,OR(Q20&gt;6,R20&gt;6,S20&gt;6,T20&gt;6)),1,0)</f>
        <v>1</v>
      </c>
      <c r="BE20" s="311">
        <f>IF(AND(Q20&gt;4,MAX(Q20:U20)&gt;6),1,0)</f>
        <v>1</v>
      </c>
      <c r="BF20" s="315">
        <f>IF(AND(OR(V20+Y20&gt;12,AND(V20&gt;6,Y20&gt;6)),AL20&gt;6,OR(AM20&gt;=AL20,AM20&gt;6)),1,0)</f>
        <v>0</v>
      </c>
      <c r="BG20" s="316">
        <f>IF(OR(AND(V20&gt;6,Z20&gt;6),V20+Y20&gt;12),1,0)</f>
        <v>1</v>
      </c>
      <c r="BH20" s="316">
        <f>IF(AND(V20&gt;6,X20&gt;6,Y20&gt;6),1,0)</f>
        <v>0</v>
      </c>
      <c r="BI20" s="316">
        <f>IF(AND(X20&gt;7,OR(V20&gt;6,Y20&gt;6)),1,0)</f>
        <v>0</v>
      </c>
      <c r="BJ20" s="316">
        <f>IF(AND(X20&gt;6,OR(V20&gt;6,Y20&gt;6)),1,0)</f>
        <v>0</v>
      </c>
      <c r="BK20" s="316">
        <f>IF(AND(OR(V20&gt;6,X20&gt;6),OR(V20&gt;6,Y20&gt;6)),1,0)</f>
        <v>0</v>
      </c>
      <c r="BL20" s="316">
        <f>IF(AND(V20&gt;4,OR(V20&gt;6,X20&gt;6,Y20&gt;6)),1,0)</f>
        <v>1</v>
      </c>
      <c r="BM20" s="316">
        <f>IF(AND(V20&gt;4,OR(V20&gt;6,W20&gt;6,X20&gt;6,Y20&gt;6)),1,0)</f>
        <v>1</v>
      </c>
      <c r="BN20" s="311">
        <f>IF(AND(V20&gt;4,MAX(V20:Z20)&gt;6),1,0)</f>
        <v>1</v>
      </c>
      <c r="BO20" s="311">
        <f>IF(AVERAGE(AL20:AM20)&gt;9,1,0)+IF(AVERAGE(AL20:AM20)&gt;7,1,0)+IF(AL20&gt;7,1,0)+IF(AM20&gt;7,1,0)+IF(AN20&gt;8,1,0)+IF(AN20&gt;6,1,0)</f>
        <v>1</v>
      </c>
      <c r="BP20" s="317">
        <f>IF(OR(MAX(AD20,AE20,AI20,AK20)&gt;6,MAX(AF20,AG20,AH20,AJ20)&gt;7),2,IF(MAX(AD20:AK20)&gt;4,1,0))</f>
        <v>2</v>
      </c>
      <c r="BQ20" s="310" t="str">
        <f>IF(AP20=1,"Yes","")</f>
        <v/>
      </c>
      <c r="BR20" s="309" t="str">
        <f>IF($A20="ML","There",IF(AND($V20&gt;=6,AVERAGE($X20:$Y20)&gt;=6),"Likely",IF(OR($V20&gt;6,AND($V20=6,AVERAGE($X20:$Y20)&gt;=3),AND($V20&gt;=5,AVERAGE($X20:$Y20)&gt;=5),AVERAGE($V20,$X20:$Y20)&gt;5),"Possible","Unlikely")))</f>
        <v>There</v>
      </c>
      <c r="BS20" s="310" t="str">
        <f>IF(OR(AND(Q20&gt;=6,S20+T20&gt;=12),Q20&gt;7),"Start",IF(AND(Q20&gt;=5,S20+T20&gt;=8),"Bench","aack!"))</f>
        <v>Start</v>
      </c>
      <c r="BT20" s="310" t="str">
        <f>IF(OR(AND(V20&gt;=6,X20+Y20&gt;=12),V20&gt;7),"Start",IF(AND(V20&gt;=5,X20+Y20&gt;=8),"Bench","aack!"))</f>
        <v>Start</v>
      </c>
      <c r="BU20" s="310" t="str">
        <f>IF(Q20&gt;5,"ML",IF(Q20=5,"AAA",IF(Q20=4,"AA",IF(Q20=3,"A","SS-A"))))</f>
        <v>ML</v>
      </c>
      <c r="BV20" s="310">
        <f>Q20-V20</f>
        <v>0</v>
      </c>
      <c r="BW20" s="310">
        <f>R20-W20</f>
        <v>0</v>
      </c>
      <c r="BX20" s="310">
        <f>S20-X20</f>
        <v>0</v>
      </c>
      <c r="BY20" s="310">
        <f>T20-Y20</f>
        <v>0</v>
      </c>
      <c r="BZ20" s="310">
        <f>U20-Z20</f>
        <v>0</v>
      </c>
      <c r="CA20" s="310">
        <f>SUM(BV20:BZ20)</f>
        <v>0</v>
      </c>
      <c r="CB20" s="310">
        <f>V20+X20+Y20</f>
        <v>19</v>
      </c>
      <c r="CC20" s="310">
        <f>V20+X20</f>
        <v>11</v>
      </c>
      <c r="CD20" s="310">
        <f>V20+Y20</f>
        <v>14</v>
      </c>
      <c r="CE20" s="310" t="str">
        <f>IF(J20&gt;24,"Now - Age",IF(Q20&gt;6,"Now",IF(V20&lt;6,"With Dev",MIN(V20-Q20,7-Q20))))</f>
        <v>Now - Age</v>
      </c>
      <c r="CF20" s="325" t="str">
        <f t="shared" si="3"/>
        <v/>
      </c>
      <c r="CG20" s="325" t="str">
        <f t="shared" si="5"/>
        <v>X</v>
      </c>
      <c r="CH20" s="325" t="str">
        <f t="shared" si="6"/>
        <v>X</v>
      </c>
      <c r="CI20" s="325" t="str">
        <f t="shared" si="7"/>
        <v>X</v>
      </c>
      <c r="CJ20" s="325" t="str">
        <f t="shared" si="8"/>
        <v>X</v>
      </c>
      <c r="CK20" s="325" t="str">
        <f t="shared" si="9"/>
        <v/>
      </c>
      <c r="CL20" s="325" t="str">
        <f t="shared" si="10"/>
        <v/>
      </c>
      <c r="CM20" s="325" t="str">
        <f t="shared" si="11"/>
        <v/>
      </c>
      <c r="CN20" s="325" t="str">
        <f t="shared" si="4"/>
        <v/>
      </c>
    </row>
    <row r="21" spans="1:92">
      <c r="A21" s="308" t="s">
        <v>212</v>
      </c>
      <c r="B21" s="309" t="s">
        <v>552</v>
      </c>
      <c r="C21" s="310">
        <f>IF(BH21=1,3,IF(BI21=1,4,IF(BF21=1,1,IF(BJ21=1,5,IF(BG21=1,2,IF(BK21=1,6,IF(BL21=1,7,IF(BM21=1,8,IF(BN21=1,9,"-")))))))))</f>
        <v>2</v>
      </c>
      <c r="D21" s="310">
        <f>IF(AY21=1,3,IF(AZ21=1,4,IF(AW21=1,1,IF(BA21=1,5,IF(AX21=1,2,IF(BB21=1,6,IF(BC21=1,7,IF(BD21=1,8,IF(BE21=1,9,"-")))))))))</f>
        <v>2</v>
      </c>
      <c r="E21" s="310" t="str">
        <f>IF(OR(OR(O21="Very High",O21="High"),AND(OR(O21="Very High",O21="High",O21="Normal"),OR(P21="Very High",P21="High"))),"K","T")</f>
        <v>K</v>
      </c>
      <c r="F21" s="310" t="s">
        <v>103</v>
      </c>
      <c r="G21" s="310" t="s">
        <v>465</v>
      </c>
      <c r="H21" s="310" t="s">
        <v>25</v>
      </c>
      <c r="I21" s="310" t="s">
        <v>212</v>
      </c>
      <c r="J21" s="310">
        <v>24</v>
      </c>
      <c r="K21" s="310" t="s">
        <v>107</v>
      </c>
      <c r="L21" s="310" t="s">
        <v>106</v>
      </c>
      <c r="M21" s="310" t="s">
        <v>47</v>
      </c>
      <c r="N21" s="311" t="s">
        <v>42</v>
      </c>
      <c r="O21" s="310" t="s">
        <v>230</v>
      </c>
      <c r="P21" s="311" t="s">
        <v>229</v>
      </c>
      <c r="Q21" s="310">
        <v>7</v>
      </c>
      <c r="R21" s="310">
        <v>6</v>
      </c>
      <c r="S21" s="310">
        <v>6</v>
      </c>
      <c r="T21" s="310">
        <v>6</v>
      </c>
      <c r="U21" s="311">
        <v>8</v>
      </c>
      <c r="V21" s="310">
        <v>7</v>
      </c>
      <c r="W21" s="310">
        <v>7</v>
      </c>
      <c r="X21" s="310">
        <v>6</v>
      </c>
      <c r="Y21" s="310">
        <v>6</v>
      </c>
      <c r="Z21" s="311">
        <v>8</v>
      </c>
      <c r="AA21" s="310">
        <v>1</v>
      </c>
      <c r="AB21" s="310">
        <v>5</v>
      </c>
      <c r="AC21" s="310">
        <v>1</v>
      </c>
      <c r="AD21" s="310" t="s">
        <v>41</v>
      </c>
      <c r="AE21" s="310" t="s">
        <v>41</v>
      </c>
      <c r="AF21" s="310" t="s">
        <v>41</v>
      </c>
      <c r="AG21" s="310" t="s">
        <v>41</v>
      </c>
      <c r="AH21" s="310" t="s">
        <v>41</v>
      </c>
      <c r="AI21" s="310">
        <v>2</v>
      </c>
      <c r="AJ21" s="310">
        <v>2</v>
      </c>
      <c r="AK21" s="311">
        <v>6</v>
      </c>
      <c r="AL21" s="310">
        <v>3</v>
      </c>
      <c r="AM21" s="310">
        <v>5</v>
      </c>
      <c r="AN21" s="311">
        <v>6</v>
      </c>
      <c r="AO21" s="312">
        <v>490000</v>
      </c>
      <c r="AP21" s="311" t="s">
        <v>45</v>
      </c>
      <c r="AQ21" s="313">
        <f>AVERAGE(Q21,S21,T21)+IF(OR(Q21&gt;7,AND(Q21&gt;5,T21&gt;5)),0.5,0)+IF(S21&gt;7,0.25,0)+IF(Q21&lt;6,-0.5*(6-Q21),0)</f>
        <v>6.833333333333333</v>
      </c>
      <c r="AR21" s="314" t="str">
        <f>IF(AQ21&gt;9,"SuperStar",IF(AQ21&gt;8,"Star",IF(AQ21&gt;6.5,"GoodReg",IF(AQ21&gt;5,"Reg",IF(AQ21&gt;4,"Bench","Minors")))))</f>
        <v>GoodReg</v>
      </c>
      <c r="AS21" s="313">
        <f>AVERAGE(V21,X21,Y21)+IF(OR(V21&gt;7,AND(V21&gt;5,Y21&gt;5)),0.5,0)+IF(X21&gt;7,0.25,0)+IF(V21&lt;6,-0.5*(6-V21),0)</f>
        <v>6.833333333333333</v>
      </c>
      <c r="AT21" s="313" t="str">
        <f>IF(AS21&gt;9,"SuperStar",IF(AS21&gt;8,"Star",IF(AS21&gt;6.5,"GoodReg",IF(AS21&gt;5,"Reg",IF(AS21&gt;4,"Bench","Minors")))))</f>
        <v>GoodReg</v>
      </c>
      <c r="AU21" s="314">
        <f>MIN(AQ21+(MAX(0,25-J21))^1.5,AS21)</f>
        <v>6.833333333333333</v>
      </c>
      <c r="AV21" s="314" t="str">
        <f>IF(AU21&gt;9,"SuperStar",IF(AU21&gt;8,"Star",IF(AU21&gt;6.5,"GoodReg",IF(AU21&gt;5,"Reg",IF(AU21&gt;4,"Bench","Minors")))))</f>
        <v>GoodReg</v>
      </c>
      <c r="AW21" s="315">
        <f>IF(AND(OR(Q21+T21&gt;12,AND(Q21&gt;6,T21&gt;6)),AL21&gt;6,OR(AM21&gt;=AL21,AM21&gt;6)),1,0)</f>
        <v>0</v>
      </c>
      <c r="AX21" s="316">
        <f>IF(OR(AND(Q21&gt;6,U21&gt;6),Q21+T21&gt;12),1,0)</f>
        <v>1</v>
      </c>
      <c r="AY21" s="316">
        <f>IF(AND(Q21&gt;6,S21&gt;6,T21&gt;6),1,0)</f>
        <v>0</v>
      </c>
      <c r="AZ21" s="316">
        <f>IF(AND(S21&gt;7,OR(Q21&gt;6,T21&gt;6)),1,0)</f>
        <v>0</v>
      </c>
      <c r="BA21" s="316">
        <f>IF(AND(S21&gt;6,OR(Q21&gt;6,T21&gt;6)),1,0)</f>
        <v>0</v>
      </c>
      <c r="BB21" s="316">
        <f>IF(AND(OR(Q21&gt;6,S21&gt;6),OR(Q21&gt;6,T21&gt;6)),1,0)</f>
        <v>1</v>
      </c>
      <c r="BC21" s="316">
        <f>IF(AND(Q21&gt;4,OR(Q21&gt;6,S21&gt;6,T21&gt;6)),1,0)</f>
        <v>1</v>
      </c>
      <c r="BD21" s="316">
        <f>IF(AND(Q21&gt;4,OR(Q21&gt;6,R21&gt;6,S21&gt;6,T21&gt;6)),1,0)</f>
        <v>1</v>
      </c>
      <c r="BE21" s="311">
        <f>IF(AND(Q21&gt;4,MAX(Q21:U21)&gt;6),1,0)</f>
        <v>1</v>
      </c>
      <c r="BF21" s="315">
        <f>IF(AND(OR(V21+Y21&gt;12,AND(V21&gt;6,Y21&gt;6)),AL21&gt;6,OR(AM21&gt;=AL21,AM21&gt;6)),1,0)</f>
        <v>0</v>
      </c>
      <c r="BG21" s="316">
        <f>IF(OR(AND(V21&gt;6,Z21&gt;6),V21+Y21&gt;12),1,0)</f>
        <v>1</v>
      </c>
      <c r="BH21" s="316">
        <f>IF(AND(V21&gt;6,X21&gt;6,Y21&gt;6),1,0)</f>
        <v>0</v>
      </c>
      <c r="BI21" s="316">
        <f>IF(AND(X21&gt;7,OR(V21&gt;6,Y21&gt;6)),1,0)</f>
        <v>0</v>
      </c>
      <c r="BJ21" s="316">
        <f>IF(AND(X21&gt;6,OR(V21&gt;6,Y21&gt;6)),1,0)</f>
        <v>0</v>
      </c>
      <c r="BK21" s="316">
        <f>IF(AND(OR(V21&gt;6,X21&gt;6),OR(V21&gt;6,Y21&gt;6)),1,0)</f>
        <v>1</v>
      </c>
      <c r="BL21" s="316">
        <f>IF(AND(V21&gt;4,OR(V21&gt;6,X21&gt;6,Y21&gt;6)),1,0)</f>
        <v>1</v>
      </c>
      <c r="BM21" s="316">
        <f>IF(AND(V21&gt;4,OR(V21&gt;6,W21&gt;6,X21&gt;6,Y21&gt;6)),1,0)</f>
        <v>1</v>
      </c>
      <c r="BN21" s="311">
        <f>IF(AND(V21&gt;4,MAX(V21:Z21)&gt;6),1,0)</f>
        <v>1</v>
      </c>
      <c r="BO21" s="311">
        <f>IF(AVERAGE(AL21:AM21)&gt;9,1,0)+IF(AVERAGE(AL21:AM21)&gt;7,1,0)+IF(AL21&gt;7,1,0)+IF(AM21&gt;7,1,0)+IF(AN21&gt;8,1,0)+IF(AN21&gt;6,1,0)</f>
        <v>0</v>
      </c>
      <c r="BP21" s="317">
        <f>IF(OR(MAX(AD21,AE21,AI21,AK21)&gt;6,MAX(AF21,AG21,AH21,AJ21)&gt;7),2,IF(MAX(AD21:AK21)&gt;4,1,0))</f>
        <v>1</v>
      </c>
      <c r="BQ21" s="310" t="str">
        <f>IF(AP21=1,"Yes","")</f>
        <v/>
      </c>
      <c r="BR21" s="309" t="str">
        <f>IF($A21="ML","There",IF(AND($V21&gt;=6,AVERAGE($X21:$Y21)&gt;=6),"Likely",IF(OR($V21&gt;6,AND($V21=6,AVERAGE($X21:$Y21)&gt;=3),AND($V21&gt;=5,AVERAGE($X21:$Y21)&gt;=5),AVERAGE($V21,$X21:$Y21)&gt;5),"Possible","Unlikely")))</f>
        <v>There</v>
      </c>
      <c r="BS21" s="310" t="str">
        <f>IF(OR(AND(Q21&gt;=6,S21+T21&gt;=12),Q21&gt;7),"Start",IF(AND(Q21&gt;=5,S21+T21&gt;=8),"Bench","aack!"))</f>
        <v>Start</v>
      </c>
      <c r="BT21" s="310" t="str">
        <f>IF(OR(AND(V21&gt;=6,X21+Y21&gt;=12),V21&gt;7),"Start",IF(AND(V21&gt;=5,X21+Y21&gt;=8),"Bench","aack!"))</f>
        <v>Start</v>
      </c>
      <c r="BU21" s="310" t="str">
        <f>IF(Q21&gt;5,"ML",IF(Q21=5,"AAA",IF(Q21=4,"AA",IF(Q21=3,"A","SS-A"))))</f>
        <v>ML</v>
      </c>
      <c r="BV21" s="310">
        <f>Q21-V21</f>
        <v>0</v>
      </c>
      <c r="BW21" s="310">
        <f>R21-W21</f>
        <v>-1</v>
      </c>
      <c r="BX21" s="310">
        <f>S21-X21</f>
        <v>0</v>
      </c>
      <c r="BY21" s="310">
        <f>T21-Y21</f>
        <v>0</v>
      </c>
      <c r="BZ21" s="310">
        <f>U21-Z21</f>
        <v>0</v>
      </c>
      <c r="CA21" s="310">
        <f>SUM(BV21:BZ21)</f>
        <v>-1</v>
      </c>
      <c r="CB21" s="310">
        <f>V21+X21+Y21</f>
        <v>19</v>
      </c>
      <c r="CC21" s="310">
        <f>V21+X21</f>
        <v>13</v>
      </c>
      <c r="CD21" s="310">
        <f>V21+Y21</f>
        <v>13</v>
      </c>
      <c r="CE21" s="310" t="str">
        <f>IF(J21&gt;24,"Now - Age",IF(Q21&gt;6,"Now",IF(V21&lt;6,"With Dev",MIN(V21-Q21,7-Q21))))</f>
        <v>Now</v>
      </c>
      <c r="CF21" s="325" t="str">
        <f t="shared" si="3"/>
        <v/>
      </c>
      <c r="CG21" s="325" t="str">
        <f t="shared" si="5"/>
        <v/>
      </c>
      <c r="CH21" s="325" t="str">
        <f t="shared" si="6"/>
        <v/>
      </c>
      <c r="CI21" s="325" t="str">
        <f t="shared" si="7"/>
        <v/>
      </c>
      <c r="CJ21" s="325" t="str">
        <f t="shared" si="8"/>
        <v/>
      </c>
      <c r="CK21" s="325" t="str">
        <f t="shared" si="9"/>
        <v/>
      </c>
      <c r="CL21" s="325" t="str">
        <f t="shared" si="10"/>
        <v/>
      </c>
      <c r="CM21" s="325" t="str">
        <f t="shared" si="11"/>
        <v/>
      </c>
      <c r="CN21" s="325" t="str">
        <f t="shared" si="4"/>
        <v>X</v>
      </c>
    </row>
    <row r="22" spans="1:92">
      <c r="A22" s="308" t="s">
        <v>212</v>
      </c>
      <c r="B22" s="309" t="s">
        <v>552</v>
      </c>
      <c r="C22" s="310">
        <f>IF(BH22=1,3,IF(BI22=1,4,IF(BF22=1,1,IF(BJ22=1,5,IF(BG22=1,2,IF(BK22=1,6,IF(BL22=1,7,IF(BM22=1,8,IF(BN22=1,9,"-")))))))))</f>
        <v>2</v>
      </c>
      <c r="D22" s="310">
        <f>IF(AY22=1,3,IF(AZ22=1,4,IF(AW22=1,1,IF(BA22=1,5,IF(AX22=1,2,IF(BB22=1,6,IF(BC22=1,7,IF(BD22=1,8,IF(BE22=1,9,"-")))))))))</f>
        <v>2</v>
      </c>
      <c r="E22" s="310" t="str">
        <f>IF(OR(OR(O22="Very High",O22="High"),AND(OR(O22="Very High",O22="High",O22="Normal"),OR(P22="Very High",P22="High"))),"K","T")</f>
        <v>K</v>
      </c>
      <c r="F22" s="310" t="s">
        <v>101</v>
      </c>
      <c r="G22" s="310" t="s">
        <v>53</v>
      </c>
      <c r="H22" s="310" t="s">
        <v>25</v>
      </c>
      <c r="I22" s="310" t="s">
        <v>212</v>
      </c>
      <c r="J22" s="310">
        <v>27</v>
      </c>
      <c r="K22" s="310" t="s">
        <v>107</v>
      </c>
      <c r="L22" s="310" t="s">
        <v>107</v>
      </c>
      <c r="M22" s="310" t="s">
        <v>47</v>
      </c>
      <c r="N22" s="311" t="s">
        <v>47</v>
      </c>
      <c r="O22" s="310" t="s">
        <v>229</v>
      </c>
      <c r="P22" s="311" t="s">
        <v>232</v>
      </c>
      <c r="Q22" s="310">
        <v>7</v>
      </c>
      <c r="R22" s="310">
        <v>6</v>
      </c>
      <c r="S22" s="310">
        <v>5</v>
      </c>
      <c r="T22" s="310">
        <v>6</v>
      </c>
      <c r="U22" s="311">
        <v>8</v>
      </c>
      <c r="V22" s="310">
        <v>7</v>
      </c>
      <c r="W22" s="310">
        <v>6</v>
      </c>
      <c r="X22" s="310">
        <v>5</v>
      </c>
      <c r="Y22" s="310">
        <v>6</v>
      </c>
      <c r="Z22" s="311">
        <v>8</v>
      </c>
      <c r="AA22" s="310">
        <v>1</v>
      </c>
      <c r="AB22" s="310">
        <v>6</v>
      </c>
      <c r="AC22" s="310">
        <v>1</v>
      </c>
      <c r="AD22" s="310" t="s">
        <v>41</v>
      </c>
      <c r="AE22" s="310" t="s">
        <v>41</v>
      </c>
      <c r="AF22" s="310" t="s">
        <v>41</v>
      </c>
      <c r="AG22" s="310" t="s">
        <v>41</v>
      </c>
      <c r="AH22" s="310" t="s">
        <v>41</v>
      </c>
      <c r="AI22" s="310">
        <v>7</v>
      </c>
      <c r="AJ22" s="310" t="s">
        <v>41</v>
      </c>
      <c r="AK22" s="311">
        <v>2</v>
      </c>
      <c r="AL22" s="310">
        <v>4</v>
      </c>
      <c r="AM22" s="310">
        <v>3</v>
      </c>
      <c r="AN22" s="311">
        <v>3</v>
      </c>
      <c r="AO22" s="312">
        <v>490000</v>
      </c>
      <c r="AP22" s="311" t="s">
        <v>45</v>
      </c>
      <c r="AQ22" s="313">
        <f>AVERAGE(Q22,S22,T22)+IF(OR(Q22&gt;7,AND(Q22&gt;5,T22&gt;5)),0.5,0)+IF(S22&gt;7,0.25,0)+IF(Q22&lt;6,-0.5*(6-Q22),0)</f>
        <v>6.5</v>
      </c>
      <c r="AR22" s="314" t="str">
        <f>IF(AQ22&gt;9,"SuperStar",IF(AQ22&gt;8,"Star",IF(AQ22&gt;6.5,"GoodReg",IF(AQ22&gt;5,"Reg",IF(AQ22&gt;4,"Bench","Minors")))))</f>
        <v>Reg</v>
      </c>
      <c r="AS22" s="313">
        <f>AVERAGE(V22,X22,Y22)+IF(OR(V22&gt;7,AND(V22&gt;5,Y22&gt;5)),0.5,0)+IF(X22&gt;7,0.25,0)+IF(V22&lt;6,-0.5*(6-V22),0)</f>
        <v>6.5</v>
      </c>
      <c r="AT22" s="313" t="str">
        <f>IF(AS22&gt;9,"SuperStar",IF(AS22&gt;8,"Star",IF(AS22&gt;6.5,"GoodReg",IF(AS22&gt;5,"Reg",IF(AS22&gt;4,"Bench","Minors")))))</f>
        <v>Reg</v>
      </c>
      <c r="AU22" s="314">
        <f>MIN(AQ22+(MAX(0,25-J22))^1.5,AS22)</f>
        <v>6.5</v>
      </c>
      <c r="AV22" s="314" t="str">
        <f>IF(AU22&gt;9,"SuperStar",IF(AU22&gt;8,"Star",IF(AU22&gt;6.5,"GoodReg",IF(AU22&gt;5,"Reg",IF(AU22&gt;4,"Bench","Minors")))))</f>
        <v>Reg</v>
      </c>
      <c r="AW22" s="315">
        <f>IF(AND(OR(Q22+T22&gt;12,AND(Q22&gt;6,T22&gt;6)),AL22&gt;6,OR(AM22&gt;=AL22,AM22&gt;6)),1,0)</f>
        <v>0</v>
      </c>
      <c r="AX22" s="316">
        <f>IF(OR(AND(Q22&gt;6,U22&gt;6),Q22+T22&gt;12),1,0)</f>
        <v>1</v>
      </c>
      <c r="AY22" s="316">
        <f>IF(AND(Q22&gt;6,S22&gt;6,T22&gt;6),1,0)</f>
        <v>0</v>
      </c>
      <c r="AZ22" s="316">
        <f>IF(AND(S22&gt;7,OR(Q22&gt;6,T22&gt;6)),1,0)</f>
        <v>0</v>
      </c>
      <c r="BA22" s="316">
        <f>IF(AND(S22&gt;6,OR(Q22&gt;6,T22&gt;6)),1,0)</f>
        <v>0</v>
      </c>
      <c r="BB22" s="316">
        <f>IF(AND(OR(Q22&gt;6,S22&gt;6),OR(Q22&gt;6,T22&gt;6)),1,0)</f>
        <v>1</v>
      </c>
      <c r="BC22" s="316">
        <f>IF(AND(Q22&gt;4,OR(Q22&gt;6,S22&gt;6,T22&gt;6)),1,0)</f>
        <v>1</v>
      </c>
      <c r="BD22" s="316">
        <f>IF(AND(Q22&gt;4,OR(Q22&gt;6,R22&gt;6,S22&gt;6,T22&gt;6)),1,0)</f>
        <v>1</v>
      </c>
      <c r="BE22" s="311">
        <f>IF(AND(Q22&gt;4,MAX(Q22:U22)&gt;6),1,0)</f>
        <v>1</v>
      </c>
      <c r="BF22" s="315">
        <f>IF(AND(OR(V22+Y22&gt;12,AND(V22&gt;6,Y22&gt;6)),AL22&gt;6,OR(AM22&gt;=AL22,AM22&gt;6)),1,0)</f>
        <v>0</v>
      </c>
      <c r="BG22" s="316">
        <f>IF(OR(AND(V22&gt;6,Z22&gt;6),V22+Y22&gt;12),1,0)</f>
        <v>1</v>
      </c>
      <c r="BH22" s="316">
        <f>IF(AND(V22&gt;6,X22&gt;6,Y22&gt;6),1,0)</f>
        <v>0</v>
      </c>
      <c r="BI22" s="316">
        <f>IF(AND(X22&gt;7,OR(V22&gt;6,Y22&gt;6)),1,0)</f>
        <v>0</v>
      </c>
      <c r="BJ22" s="316">
        <f>IF(AND(X22&gt;6,OR(V22&gt;6,Y22&gt;6)),1,0)</f>
        <v>0</v>
      </c>
      <c r="BK22" s="316">
        <f>IF(AND(OR(V22&gt;6,X22&gt;6),OR(V22&gt;6,Y22&gt;6)),1,0)</f>
        <v>1</v>
      </c>
      <c r="BL22" s="316">
        <f>IF(AND(V22&gt;4,OR(V22&gt;6,X22&gt;6,Y22&gt;6)),1,0)</f>
        <v>1</v>
      </c>
      <c r="BM22" s="316">
        <f>IF(AND(V22&gt;4,OR(V22&gt;6,W22&gt;6,X22&gt;6,Y22&gt;6)),1,0)</f>
        <v>1</v>
      </c>
      <c r="BN22" s="311">
        <f>IF(AND(V22&gt;4,MAX(V22:Z22)&gt;6),1,0)</f>
        <v>1</v>
      </c>
      <c r="BO22" s="311">
        <f>IF(AVERAGE(AL22:AM22)&gt;9,1,0)+IF(AVERAGE(AL22:AM22)&gt;7,1,0)+IF(AL22&gt;7,1,0)+IF(AM22&gt;7,1,0)+IF(AN22&gt;8,1,0)+IF(AN22&gt;6,1,0)</f>
        <v>0</v>
      </c>
      <c r="BP22" s="317">
        <f>IF(OR(MAX(AD22,AE22,AI22,AK22)&gt;6,MAX(AF22,AG22,AH22,AJ22)&gt;7),2,IF(MAX(AD22:AK22)&gt;4,1,0))</f>
        <v>2</v>
      </c>
      <c r="BQ22" s="310" t="str">
        <f>IF(AP22=1,"Yes","")</f>
        <v/>
      </c>
      <c r="BR22" s="309" t="str">
        <f>IF($A22="ML","There",IF(AND($V22&gt;=6,AVERAGE($X22:$Y22)&gt;=6),"Likely",IF(OR($V22&gt;6,AND($V22=6,AVERAGE($X22:$Y22)&gt;=3),AND($V22&gt;=5,AVERAGE($X22:$Y22)&gt;=5),AVERAGE($V22,$X22:$Y22)&gt;5),"Possible","Unlikely")))</f>
        <v>There</v>
      </c>
      <c r="BS22" s="310" t="str">
        <f>IF(OR(AND(Q22&gt;=6,S22+T22&gt;=12),Q22&gt;7),"Start",IF(AND(Q22&gt;=5,S22+T22&gt;=8),"Bench","aack!"))</f>
        <v>Bench</v>
      </c>
      <c r="BT22" s="310" t="str">
        <f>IF(OR(AND(V22&gt;=6,X22+Y22&gt;=12),V22&gt;7),"Start",IF(AND(V22&gt;=5,X22+Y22&gt;=8),"Bench","aack!"))</f>
        <v>Bench</v>
      </c>
      <c r="BU22" s="310" t="str">
        <f>IF(Q22&gt;5,"ML",IF(Q22=5,"AAA",IF(Q22=4,"AA",IF(Q22=3,"A","SS-A"))))</f>
        <v>ML</v>
      </c>
      <c r="BV22" s="310">
        <f>Q22-V22</f>
        <v>0</v>
      </c>
      <c r="BW22" s="310">
        <f>R22-W22</f>
        <v>0</v>
      </c>
      <c r="BX22" s="310">
        <f>S22-X22</f>
        <v>0</v>
      </c>
      <c r="BY22" s="310">
        <f>T22-Y22</f>
        <v>0</v>
      </c>
      <c r="BZ22" s="310">
        <f>U22-Z22</f>
        <v>0</v>
      </c>
      <c r="CA22" s="310">
        <f>SUM(BV22:BZ22)</f>
        <v>0</v>
      </c>
      <c r="CB22" s="310">
        <f>V22+X22+Y22</f>
        <v>18</v>
      </c>
      <c r="CC22" s="310">
        <f>V22+X22</f>
        <v>12</v>
      </c>
      <c r="CD22" s="310">
        <f>V22+Y22</f>
        <v>13</v>
      </c>
      <c r="CE22" s="310" t="str">
        <f>IF(J22&gt;24,"Now - Age",IF(Q22&gt;6,"Now",IF(V22&lt;6,"With Dev",MIN(V22-Q22,7-Q22))))</f>
        <v>Now - Age</v>
      </c>
      <c r="CF22" s="325" t="str">
        <f t="shared" si="3"/>
        <v/>
      </c>
      <c r="CG22" s="325" t="str">
        <f t="shared" si="5"/>
        <v/>
      </c>
      <c r="CH22" s="325" t="str">
        <f t="shared" si="6"/>
        <v/>
      </c>
      <c r="CI22" s="325" t="str">
        <f t="shared" si="7"/>
        <v/>
      </c>
      <c r="CJ22" s="325" t="str">
        <f t="shared" si="8"/>
        <v/>
      </c>
      <c r="CK22" s="325" t="str">
        <f t="shared" si="9"/>
        <v>X</v>
      </c>
      <c r="CL22" s="325" t="str">
        <f t="shared" si="10"/>
        <v/>
      </c>
      <c r="CM22" s="325" t="str">
        <f t="shared" si="11"/>
        <v/>
      </c>
      <c r="CN22" s="325" t="str">
        <f t="shared" si="4"/>
        <v/>
      </c>
    </row>
    <row r="23" spans="1:92">
      <c r="A23" s="308" t="s">
        <v>212</v>
      </c>
      <c r="B23" s="309" t="s">
        <v>99</v>
      </c>
      <c r="C23" s="310">
        <f>IF(BH23=1,3,IF(BI23=1,4,IF(BF23=1,1,IF(BJ23=1,5,IF(BG23=1,2,IF(BK23=1,6,IF(BL23=1,7,IF(BM23=1,8,IF(BN23=1,9,"-")))))))))</f>
        <v>2</v>
      </c>
      <c r="D23" s="310">
        <f>IF(AY23=1,3,IF(AZ23=1,4,IF(AW23=1,1,IF(BA23=1,5,IF(AX23=1,2,IF(BB23=1,6,IF(BC23=1,7,IF(BD23=1,8,IF(BE23=1,9,"-")))))))))</f>
        <v>2</v>
      </c>
      <c r="E23" s="310" t="str">
        <f>IF(OR(OR(O23="Very High",O23="High"),AND(OR(O23="Very High",O23="High",O23="Normal"),OR(P23="Very High",P23="High"))),"K","T")</f>
        <v>K</v>
      </c>
      <c r="F23" s="310" t="s">
        <v>99</v>
      </c>
      <c r="G23" s="310" t="s">
        <v>521</v>
      </c>
      <c r="H23" s="310" t="s">
        <v>25</v>
      </c>
      <c r="I23" s="310" t="s">
        <v>212</v>
      </c>
      <c r="J23" s="310">
        <v>25</v>
      </c>
      <c r="K23" s="310" t="s">
        <v>107</v>
      </c>
      <c r="L23" s="310" t="s">
        <v>107</v>
      </c>
      <c r="M23" s="310" t="s">
        <v>47</v>
      </c>
      <c r="N23" s="311" t="s">
        <v>42</v>
      </c>
      <c r="O23" s="310" t="s">
        <v>228</v>
      </c>
      <c r="P23" s="311" t="s">
        <v>228</v>
      </c>
      <c r="Q23" s="310">
        <v>7</v>
      </c>
      <c r="R23" s="310">
        <v>6</v>
      </c>
      <c r="S23" s="310">
        <v>2</v>
      </c>
      <c r="T23" s="310">
        <v>7</v>
      </c>
      <c r="U23" s="311">
        <v>7</v>
      </c>
      <c r="V23" s="310">
        <v>7</v>
      </c>
      <c r="W23" s="310">
        <v>6</v>
      </c>
      <c r="X23" s="310">
        <v>2</v>
      </c>
      <c r="Y23" s="310">
        <v>7</v>
      </c>
      <c r="Z23" s="311">
        <v>7</v>
      </c>
      <c r="AA23" s="310">
        <v>9</v>
      </c>
      <c r="AB23" s="310">
        <v>4</v>
      </c>
      <c r="AC23" s="310">
        <v>1</v>
      </c>
      <c r="AD23" s="310" t="s">
        <v>41</v>
      </c>
      <c r="AE23" s="310" t="s">
        <v>41</v>
      </c>
      <c r="AF23" s="310">
        <v>1</v>
      </c>
      <c r="AG23" s="310">
        <v>5</v>
      </c>
      <c r="AH23" s="310">
        <v>3</v>
      </c>
      <c r="AI23" s="310" t="s">
        <v>41</v>
      </c>
      <c r="AJ23" s="310" t="s">
        <v>41</v>
      </c>
      <c r="AK23" s="311" t="s">
        <v>41</v>
      </c>
      <c r="AL23" s="310">
        <v>3</v>
      </c>
      <c r="AM23" s="310">
        <v>5</v>
      </c>
      <c r="AN23" s="311">
        <v>4</v>
      </c>
      <c r="AO23" s="312">
        <v>490000</v>
      </c>
      <c r="AP23" s="311" t="s">
        <v>45</v>
      </c>
      <c r="AQ23" s="313">
        <f>AVERAGE(Q23,S23,T23)+IF(OR(Q23&gt;7,AND(Q23&gt;5,T23&gt;5)),0.5,0)+IF(S23&gt;7,0.25,0)+IF(Q23&lt;6,-0.5*(6-Q23),0)</f>
        <v>5.833333333333333</v>
      </c>
      <c r="AR23" s="314" t="str">
        <f>IF(AQ23&gt;9,"SuperStar",IF(AQ23&gt;8,"Star",IF(AQ23&gt;6.5,"GoodReg",IF(AQ23&gt;5,"Reg",IF(AQ23&gt;4,"Bench","Minors")))))</f>
        <v>Reg</v>
      </c>
      <c r="AS23" s="313">
        <f>AVERAGE(V23,X23,Y23)+IF(OR(V23&gt;7,AND(V23&gt;5,Y23&gt;5)),0.5,0)+IF(X23&gt;7,0.25,0)+IF(V23&lt;6,-0.5*(6-V23),0)</f>
        <v>5.833333333333333</v>
      </c>
      <c r="AT23" s="313" t="str">
        <f>IF(AS23&gt;9,"SuperStar",IF(AS23&gt;8,"Star",IF(AS23&gt;6.5,"GoodReg",IF(AS23&gt;5,"Reg",IF(AS23&gt;4,"Bench","Minors")))))</f>
        <v>Reg</v>
      </c>
      <c r="AU23" s="314">
        <f>MIN(AQ23+(MAX(0,25-J23))^1.5,AS23)</f>
        <v>5.833333333333333</v>
      </c>
      <c r="AV23" s="314" t="str">
        <f>IF(AU23&gt;9,"SuperStar",IF(AU23&gt;8,"Star",IF(AU23&gt;6.5,"GoodReg",IF(AU23&gt;5,"Reg",IF(AU23&gt;4,"Bench","Minors")))))</f>
        <v>Reg</v>
      </c>
      <c r="AW23" s="315">
        <f>IF(AND(OR(Q23+T23&gt;12,AND(Q23&gt;6,T23&gt;6)),AL23&gt;6,OR(AM23&gt;=AL23,AM23&gt;6)),1,0)</f>
        <v>0</v>
      </c>
      <c r="AX23" s="316">
        <f>IF(OR(AND(Q23&gt;6,U23&gt;6),Q23+T23&gt;12),1,0)</f>
        <v>1</v>
      </c>
      <c r="AY23" s="316">
        <f>IF(AND(Q23&gt;6,S23&gt;6,T23&gt;6),1,0)</f>
        <v>0</v>
      </c>
      <c r="AZ23" s="316">
        <f>IF(AND(S23&gt;7,OR(Q23&gt;6,T23&gt;6)),1,0)</f>
        <v>0</v>
      </c>
      <c r="BA23" s="316">
        <f>IF(AND(S23&gt;6,OR(Q23&gt;6,T23&gt;6)),1,0)</f>
        <v>0</v>
      </c>
      <c r="BB23" s="316">
        <f>IF(AND(OR(Q23&gt;6,S23&gt;6),OR(Q23&gt;6,T23&gt;6)),1,0)</f>
        <v>1</v>
      </c>
      <c r="BC23" s="316">
        <f>IF(AND(Q23&gt;4,OR(Q23&gt;6,S23&gt;6,T23&gt;6)),1,0)</f>
        <v>1</v>
      </c>
      <c r="BD23" s="316">
        <f>IF(AND(Q23&gt;4,OR(Q23&gt;6,R23&gt;6,S23&gt;6,T23&gt;6)),1,0)</f>
        <v>1</v>
      </c>
      <c r="BE23" s="311">
        <f>IF(AND(Q23&gt;4,MAX(Q23:U23)&gt;6),1,0)</f>
        <v>1</v>
      </c>
      <c r="BF23" s="315">
        <f>IF(AND(OR(V23+Y23&gt;12,AND(V23&gt;6,Y23&gt;6)),AL23&gt;6,OR(AM23&gt;=AL23,AM23&gt;6)),1,0)</f>
        <v>0</v>
      </c>
      <c r="BG23" s="316">
        <f>IF(OR(AND(V23&gt;6,Z23&gt;6),V23+Y23&gt;12),1,0)</f>
        <v>1</v>
      </c>
      <c r="BH23" s="316">
        <f>IF(AND(V23&gt;6,X23&gt;6,Y23&gt;6),1,0)</f>
        <v>0</v>
      </c>
      <c r="BI23" s="316">
        <f>IF(AND(X23&gt;7,OR(V23&gt;6,Y23&gt;6)),1,0)</f>
        <v>0</v>
      </c>
      <c r="BJ23" s="316">
        <f>IF(AND(X23&gt;6,OR(V23&gt;6,Y23&gt;6)),1,0)</f>
        <v>0</v>
      </c>
      <c r="BK23" s="316">
        <f>IF(AND(OR(V23&gt;6,X23&gt;6),OR(V23&gt;6,Y23&gt;6)),1,0)</f>
        <v>1</v>
      </c>
      <c r="BL23" s="316">
        <f>IF(AND(V23&gt;4,OR(V23&gt;6,X23&gt;6,Y23&gt;6)),1,0)</f>
        <v>1</v>
      </c>
      <c r="BM23" s="316">
        <f>IF(AND(V23&gt;4,OR(V23&gt;6,W23&gt;6,X23&gt;6,Y23&gt;6)),1,0)</f>
        <v>1</v>
      </c>
      <c r="BN23" s="311">
        <f>IF(AND(V23&gt;4,MAX(V23:Z23)&gt;6),1,0)</f>
        <v>1</v>
      </c>
      <c r="BO23" s="311">
        <f>IF(AVERAGE(AL23:AM23)&gt;9,1,0)+IF(AVERAGE(AL23:AM23)&gt;7,1,0)+IF(AL23&gt;7,1,0)+IF(AM23&gt;7,1,0)+IF(AN23&gt;8,1,0)+IF(AN23&gt;6,1,0)</f>
        <v>0</v>
      </c>
      <c r="BP23" s="317">
        <f>IF(OR(MAX(AD23,AE23,AI23,AK23)&gt;6,MAX(AF23,AG23,AH23,AJ23)&gt;7),2,IF(MAX(AD23:AK23)&gt;4,1,0))</f>
        <v>1</v>
      </c>
      <c r="BQ23" s="310" t="str">
        <f>IF(AP23=1,"Yes","")</f>
        <v/>
      </c>
      <c r="BR23" s="309" t="str">
        <f>IF($A23="ML","There",IF(AND($V23&gt;=6,AVERAGE($X23:$Y23)&gt;=6),"Likely",IF(OR($V23&gt;6,AND($V23=6,AVERAGE($X23:$Y23)&gt;=3),AND($V23&gt;=5,AVERAGE($X23:$Y23)&gt;=5),AVERAGE($V23,$X23:$Y23)&gt;5),"Possible","Unlikely")))</f>
        <v>There</v>
      </c>
      <c r="BS23" s="310" t="str">
        <f>IF(OR(AND(Q23&gt;=6,S23+T23&gt;=12),Q23&gt;7),"Start",IF(AND(Q23&gt;=5,S23+T23&gt;=8),"Bench","aack!"))</f>
        <v>Bench</v>
      </c>
      <c r="BT23" s="310" t="str">
        <f>IF(OR(AND(V23&gt;=6,X23+Y23&gt;=12),V23&gt;7),"Start",IF(AND(V23&gt;=5,X23+Y23&gt;=8),"Bench","aack!"))</f>
        <v>Bench</v>
      </c>
      <c r="BU23" s="310" t="str">
        <f>IF(Q23&gt;5,"ML",IF(Q23=5,"AAA",IF(Q23=4,"AA",IF(Q23=3,"A","SS-A"))))</f>
        <v>ML</v>
      </c>
      <c r="BV23" s="310">
        <f>Q23-V23</f>
        <v>0</v>
      </c>
      <c r="BW23" s="310">
        <f>R23-W23</f>
        <v>0</v>
      </c>
      <c r="BX23" s="310">
        <f>S23-X23</f>
        <v>0</v>
      </c>
      <c r="BY23" s="310">
        <f>T23-Y23</f>
        <v>0</v>
      </c>
      <c r="BZ23" s="310">
        <f>U23-Z23</f>
        <v>0</v>
      </c>
      <c r="CA23" s="310">
        <f>SUM(BV23:BZ23)</f>
        <v>0</v>
      </c>
      <c r="CB23" s="310">
        <f>V23+X23+Y23</f>
        <v>16</v>
      </c>
      <c r="CC23" s="310">
        <f>V23+X23</f>
        <v>9</v>
      </c>
      <c r="CD23" s="310">
        <f>V23+Y23</f>
        <v>14</v>
      </c>
      <c r="CE23" s="310" t="str">
        <f>IF(J23&gt;24,"Now - Age",IF(Q23&gt;6,"Now",IF(V23&lt;6,"With Dev",MIN(V23-Q23,7-Q23))))</f>
        <v>Now - Age</v>
      </c>
      <c r="CF23" s="325" t="str">
        <f t="shared" si="3"/>
        <v/>
      </c>
      <c r="CG23" s="325" t="str">
        <f t="shared" si="5"/>
        <v/>
      </c>
      <c r="CH23" s="325" t="str">
        <f t="shared" si="6"/>
        <v/>
      </c>
      <c r="CI23" s="325" t="str">
        <f t="shared" si="7"/>
        <v>X</v>
      </c>
      <c r="CJ23" s="325" t="str">
        <f t="shared" si="8"/>
        <v/>
      </c>
      <c r="CK23" s="325" t="str">
        <f t="shared" si="9"/>
        <v/>
      </c>
      <c r="CL23" s="325" t="str">
        <f t="shared" si="10"/>
        <v/>
      </c>
      <c r="CM23" s="325" t="str">
        <f t="shared" si="11"/>
        <v/>
      </c>
      <c r="CN23" s="325" t="str">
        <f t="shared" si="4"/>
        <v/>
      </c>
    </row>
    <row r="24" spans="1:92">
      <c r="A24" s="308" t="s">
        <v>213</v>
      </c>
      <c r="B24" s="309" t="s">
        <v>97</v>
      </c>
      <c r="C24" s="310">
        <f>IF(BH24=1,3,IF(BI24=1,4,IF(BF24=1,1,IF(BJ24=1,5,IF(BG24=1,2,IF(BK24=1,6,IF(BL24=1,7,IF(BM24=1,8,IF(BN24=1,9,"-")))))))))</f>
        <v>3</v>
      </c>
      <c r="D24" s="310">
        <f>IF(AY24=1,3,IF(AZ24=1,4,IF(AW24=1,1,IF(BA24=1,5,IF(AX24=1,2,IF(BB24=1,6,IF(BC24=1,7,IF(BD24=1,8,IF(BE24=1,9,"-")))))))))</f>
        <v>2</v>
      </c>
      <c r="E24" s="310" t="str">
        <f>IF(OR(OR(O24="Very High",O24="High"),AND(OR(O24="Very High",O24="High",O24="Normal"),OR(P24="Very High",P24="High"))),"K","T")</f>
        <v>K</v>
      </c>
      <c r="F24" s="310" t="s">
        <v>97</v>
      </c>
      <c r="G24" s="310" t="s">
        <v>462</v>
      </c>
      <c r="H24" s="310" t="s">
        <v>384</v>
      </c>
      <c r="I24" s="310" t="s">
        <v>213</v>
      </c>
      <c r="J24" s="310">
        <v>23</v>
      </c>
      <c r="K24" s="310" t="s">
        <v>107</v>
      </c>
      <c r="L24" s="310" t="s">
        <v>107</v>
      </c>
      <c r="M24" s="310" t="s">
        <v>47</v>
      </c>
      <c r="N24" s="311" t="s">
        <v>44</v>
      </c>
      <c r="O24" s="310" t="s">
        <v>229</v>
      </c>
      <c r="P24" s="311" t="s">
        <v>228</v>
      </c>
      <c r="Q24" s="310">
        <v>7</v>
      </c>
      <c r="R24" s="310">
        <v>6</v>
      </c>
      <c r="S24" s="310">
        <v>5</v>
      </c>
      <c r="T24" s="310">
        <v>8</v>
      </c>
      <c r="U24" s="311">
        <v>8</v>
      </c>
      <c r="V24" s="310">
        <v>8</v>
      </c>
      <c r="W24" s="310">
        <v>6</v>
      </c>
      <c r="X24" s="310">
        <v>8</v>
      </c>
      <c r="Y24" s="310">
        <v>9</v>
      </c>
      <c r="Z24" s="311">
        <v>9</v>
      </c>
      <c r="AA24" s="310">
        <v>5</v>
      </c>
      <c r="AB24" s="310">
        <v>3</v>
      </c>
      <c r="AC24" s="310">
        <v>1</v>
      </c>
      <c r="AD24" s="310" t="s">
        <v>41</v>
      </c>
      <c r="AE24" s="310">
        <v>7</v>
      </c>
      <c r="AF24" s="310" t="s">
        <v>41</v>
      </c>
      <c r="AG24" s="310" t="s">
        <v>41</v>
      </c>
      <c r="AH24" s="310" t="s">
        <v>41</v>
      </c>
      <c r="AI24" s="310" t="s">
        <v>41</v>
      </c>
      <c r="AJ24" s="310" t="s">
        <v>41</v>
      </c>
      <c r="AK24" s="311" t="s">
        <v>41</v>
      </c>
      <c r="AL24" s="310">
        <v>5</v>
      </c>
      <c r="AM24" s="310">
        <v>5</v>
      </c>
      <c r="AN24" s="311">
        <v>4</v>
      </c>
      <c r="AO24" s="312" t="s">
        <v>41</v>
      </c>
      <c r="AP24" s="311">
        <v>0</v>
      </c>
      <c r="AQ24" s="313">
        <f>AVERAGE(Q24,S24,T24)+IF(OR(Q24&gt;7,AND(Q24&gt;5,T24&gt;5)),0.5,0)+IF(S24&gt;7,0.25,0)+IF(Q24&lt;6,-0.5*(6-Q24),0)</f>
        <v>7.166666666666667</v>
      </c>
      <c r="AR24" s="314" t="str">
        <f>IF(AQ24&gt;9,"SuperStar",IF(AQ24&gt;8,"Star",IF(AQ24&gt;6.5,"GoodReg",IF(AQ24&gt;5,"Reg",IF(AQ24&gt;4,"Bench","Minors")))))</f>
        <v>GoodReg</v>
      </c>
      <c r="AS24" s="313">
        <f>AVERAGE(V24,X24,Y24)+IF(OR(V24&gt;7,AND(V24&gt;5,Y24&gt;5)),0.5,0)+IF(X24&gt;7,0.25,0)+IF(V24&lt;6,-0.5*(6-V24),0)</f>
        <v>9.0833333333333339</v>
      </c>
      <c r="AT24" s="313" t="str">
        <f>IF(AS24&gt;9,"SuperStar",IF(AS24&gt;8,"Star",IF(AS24&gt;6.5,"GoodReg",IF(AS24&gt;5,"Reg",IF(AS24&gt;4,"Bench","Minors")))))</f>
        <v>SuperStar</v>
      </c>
      <c r="AU24" s="314">
        <f>MIN(AQ24+(MAX(0,25-J24))^1.5,AS24)</f>
        <v>9.0833333333333339</v>
      </c>
      <c r="AV24" s="314" t="str">
        <f>IF(AU24&gt;9,"SuperStar",IF(AU24&gt;8,"Star",IF(AU24&gt;6.5,"GoodReg",IF(AU24&gt;5,"Reg",IF(AU24&gt;4,"Bench","Minors")))))</f>
        <v>SuperStar</v>
      </c>
      <c r="AW24" s="315">
        <f>IF(AND(OR(Q24+T24&gt;12,AND(Q24&gt;6,T24&gt;6)),AL24&gt;6,OR(AM24&gt;=AL24,AM24&gt;6)),1,0)</f>
        <v>0</v>
      </c>
      <c r="AX24" s="316">
        <f>IF(OR(AND(Q24&gt;6,U24&gt;6),Q24+T24&gt;12),1,0)</f>
        <v>1</v>
      </c>
      <c r="AY24" s="316">
        <f>IF(AND(Q24&gt;6,S24&gt;6,T24&gt;6),1,0)</f>
        <v>0</v>
      </c>
      <c r="AZ24" s="316">
        <f>IF(AND(S24&gt;7,OR(Q24&gt;6,T24&gt;6)),1,0)</f>
        <v>0</v>
      </c>
      <c r="BA24" s="316">
        <f>IF(AND(S24&gt;6,OR(Q24&gt;6,T24&gt;6)),1,0)</f>
        <v>0</v>
      </c>
      <c r="BB24" s="316">
        <f>IF(AND(OR(Q24&gt;6,S24&gt;6),OR(Q24&gt;6,T24&gt;6)),1,0)</f>
        <v>1</v>
      </c>
      <c r="BC24" s="316">
        <f>IF(AND(Q24&gt;4,OR(Q24&gt;6,S24&gt;6,T24&gt;6)),1,0)</f>
        <v>1</v>
      </c>
      <c r="BD24" s="316">
        <f>IF(AND(Q24&gt;4,OR(Q24&gt;6,R24&gt;6,S24&gt;6,T24&gt;6)),1,0)</f>
        <v>1</v>
      </c>
      <c r="BE24" s="311">
        <f>IF(AND(Q24&gt;4,MAX(Q24:U24)&gt;6),1,0)</f>
        <v>1</v>
      </c>
      <c r="BF24" s="315">
        <f>IF(AND(OR(V24+Y24&gt;12,AND(V24&gt;6,Y24&gt;6)),AL24&gt;6,OR(AM24&gt;=AL24,AM24&gt;6)),1,0)</f>
        <v>0</v>
      </c>
      <c r="BG24" s="316">
        <f>IF(OR(AND(V24&gt;6,Z24&gt;6),V24+Y24&gt;12),1,0)</f>
        <v>1</v>
      </c>
      <c r="BH24" s="316">
        <f>IF(AND(V24&gt;6,X24&gt;6,Y24&gt;6),1,0)</f>
        <v>1</v>
      </c>
      <c r="BI24" s="316">
        <f>IF(AND(X24&gt;7,OR(V24&gt;6,Y24&gt;6)),1,0)</f>
        <v>1</v>
      </c>
      <c r="BJ24" s="316">
        <f>IF(AND(X24&gt;6,OR(V24&gt;6,Y24&gt;6)),1,0)</f>
        <v>1</v>
      </c>
      <c r="BK24" s="316">
        <f>IF(AND(OR(V24&gt;6,X24&gt;6),OR(V24&gt;6,Y24&gt;6)),1,0)</f>
        <v>1</v>
      </c>
      <c r="BL24" s="316">
        <f>IF(AND(V24&gt;4,OR(V24&gt;6,X24&gt;6,Y24&gt;6)),1,0)</f>
        <v>1</v>
      </c>
      <c r="BM24" s="316">
        <f>IF(AND(V24&gt;4,OR(V24&gt;6,W24&gt;6,X24&gt;6,Y24&gt;6)),1,0)</f>
        <v>1</v>
      </c>
      <c r="BN24" s="311">
        <f>IF(AND(V24&gt;4,MAX(V24:Z24)&gt;6),1,0)</f>
        <v>1</v>
      </c>
      <c r="BO24" s="311">
        <f>IF(AVERAGE(AL24:AM24)&gt;9,1,0)+IF(AVERAGE(AL24:AM24)&gt;7,1,0)+IF(AL24&gt;7,1,0)+IF(AM24&gt;7,1,0)+IF(AN24&gt;8,1,0)+IF(AN24&gt;6,1,0)</f>
        <v>0</v>
      </c>
      <c r="BP24" s="317">
        <f>IF(OR(MAX(AD24,AE24,AI24,AK24)&gt;6,MAX(AF24,AG24,AH24,AJ24)&gt;7),2,IF(MAX(AD24:AK24)&gt;4,1,0))</f>
        <v>2</v>
      </c>
      <c r="BQ24" s="310" t="str">
        <f>IF(AP24=1,"Yes","")</f>
        <v/>
      </c>
      <c r="BR24" s="309" t="str">
        <f>IF($A24="ML","There",IF(AND($V24&gt;=6,AVERAGE($X24:$Y24)&gt;=6),"Likely",IF(OR($V24&gt;6,AND($V24=6,AVERAGE($X24:$Y24)&gt;=3),AND($V24&gt;=5,AVERAGE($X24:$Y24)&gt;=5),AVERAGE($V24,$X24:$Y24)&gt;5),"Possible","Unlikely")))</f>
        <v>Likely</v>
      </c>
      <c r="BS24" s="310" t="str">
        <f>IF(OR(AND(Q24&gt;=6,S24+T24&gt;=12),Q24&gt;7),"Start",IF(AND(Q24&gt;=5,S24+T24&gt;=8),"Bench","aack!"))</f>
        <v>Start</v>
      </c>
      <c r="BT24" s="310" t="str">
        <f>IF(OR(AND(V24&gt;=6,X24+Y24&gt;=12),V24&gt;7),"Start",IF(AND(V24&gt;=5,X24+Y24&gt;=8),"Bench","aack!"))</f>
        <v>Start</v>
      </c>
      <c r="BU24" s="310" t="str">
        <f>IF(Q24&gt;5,"ML",IF(Q24=5,"AAA",IF(Q24=4,"AA",IF(Q24=3,"A","SS-A"))))</f>
        <v>ML</v>
      </c>
      <c r="BV24" s="310">
        <f>Q24-V24</f>
        <v>-1</v>
      </c>
      <c r="BW24" s="310">
        <f>R24-W24</f>
        <v>0</v>
      </c>
      <c r="BX24" s="310">
        <f>S24-X24</f>
        <v>-3</v>
      </c>
      <c r="BY24" s="310">
        <f>T24-Y24</f>
        <v>-1</v>
      </c>
      <c r="BZ24" s="310">
        <f>U24-Z24</f>
        <v>-1</v>
      </c>
      <c r="CA24" s="310">
        <f>SUM(BV24:BZ24)</f>
        <v>-6</v>
      </c>
      <c r="CB24" s="310">
        <f>V24+X24+Y24</f>
        <v>25</v>
      </c>
      <c r="CC24" s="310">
        <f>V24+X24</f>
        <v>16</v>
      </c>
      <c r="CD24" s="310">
        <f>V24+Y24</f>
        <v>17</v>
      </c>
      <c r="CE24" s="310" t="str">
        <f>IF(J24&gt;24,"Now - Age",IF(Q24&gt;6,"Now",IF(V24&lt;6,"With Dev",MIN(V24-Q24,7-Q24))))</f>
        <v>Now</v>
      </c>
      <c r="CF24" s="325" t="str">
        <f t="shared" si="3"/>
        <v/>
      </c>
      <c r="CG24" s="325" t="str">
        <f t="shared" si="5"/>
        <v>X</v>
      </c>
      <c r="CH24" s="325" t="str">
        <f t="shared" si="6"/>
        <v/>
      </c>
      <c r="CI24" s="325" t="str">
        <f t="shared" si="7"/>
        <v/>
      </c>
      <c r="CJ24" s="325" t="str">
        <f t="shared" si="8"/>
        <v/>
      </c>
      <c r="CK24" s="325" t="str">
        <f t="shared" si="9"/>
        <v/>
      </c>
      <c r="CL24" s="325" t="str">
        <f t="shared" si="10"/>
        <v/>
      </c>
      <c r="CM24" s="325" t="str">
        <f t="shared" si="11"/>
        <v/>
      </c>
      <c r="CN24" s="325" t="str">
        <f t="shared" si="4"/>
        <v/>
      </c>
    </row>
    <row r="25" spans="1:92">
      <c r="A25" s="308" t="s">
        <v>213</v>
      </c>
      <c r="B25" s="309" t="s">
        <v>103</v>
      </c>
      <c r="C25" s="310">
        <f>IF(BH25=1,3,IF(BI25=1,4,IF(BF25=1,1,IF(BJ25=1,5,IF(BG25=1,2,IF(BK25=1,6,IF(BL25=1,7,IF(BM25=1,8,IF(BN25=1,9,"-")))))))))</f>
        <v>2</v>
      </c>
      <c r="D25" s="310">
        <f>IF(AY25=1,3,IF(AZ25=1,4,IF(AW25=1,1,IF(BA25=1,5,IF(AX25=1,2,IF(BB25=1,6,IF(BC25=1,7,IF(BD25=1,8,IF(BE25=1,9,"-")))))))))</f>
        <v>2</v>
      </c>
      <c r="E25" s="310" t="str">
        <f>IF(OR(OR(O25="Very High",O25="High"),AND(OR(O25="Very High",O25="High",O25="Normal"),OR(P25="Very High",P25="High"))),"K","T")</f>
        <v>K</v>
      </c>
      <c r="F25" s="310" t="s">
        <v>102</v>
      </c>
      <c r="G25" s="310" t="s">
        <v>248</v>
      </c>
      <c r="H25" s="310" t="s">
        <v>25</v>
      </c>
      <c r="I25" s="310" t="s">
        <v>212</v>
      </c>
      <c r="J25" s="310">
        <v>26</v>
      </c>
      <c r="K25" s="310" t="s">
        <v>106</v>
      </c>
      <c r="L25" s="310" t="s">
        <v>106</v>
      </c>
      <c r="M25" s="310" t="s">
        <v>47</v>
      </c>
      <c r="N25" s="311" t="s">
        <v>47</v>
      </c>
      <c r="O25" s="310" t="s">
        <v>230</v>
      </c>
      <c r="P25" s="311" t="s">
        <v>228</v>
      </c>
      <c r="Q25" s="310">
        <v>6</v>
      </c>
      <c r="R25" s="310">
        <v>5</v>
      </c>
      <c r="S25" s="310">
        <v>6</v>
      </c>
      <c r="T25" s="310">
        <v>7</v>
      </c>
      <c r="U25" s="311">
        <v>5</v>
      </c>
      <c r="V25" s="310">
        <v>6</v>
      </c>
      <c r="W25" s="310">
        <v>5</v>
      </c>
      <c r="X25" s="310">
        <v>6</v>
      </c>
      <c r="Y25" s="310">
        <v>7</v>
      </c>
      <c r="Z25" s="311">
        <v>6</v>
      </c>
      <c r="AA25" s="310">
        <v>1</v>
      </c>
      <c r="AB25" s="310">
        <v>6</v>
      </c>
      <c r="AC25" s="310">
        <v>1</v>
      </c>
      <c r="AD25" s="310" t="s">
        <v>41</v>
      </c>
      <c r="AE25" s="310" t="s">
        <v>41</v>
      </c>
      <c r="AF25" s="310" t="s">
        <v>41</v>
      </c>
      <c r="AG25" s="310" t="s">
        <v>41</v>
      </c>
      <c r="AH25" s="310" t="s">
        <v>41</v>
      </c>
      <c r="AI25" s="310">
        <v>8</v>
      </c>
      <c r="AJ25" s="310">
        <v>4</v>
      </c>
      <c r="AK25" s="311">
        <v>5</v>
      </c>
      <c r="AL25" s="310">
        <v>6</v>
      </c>
      <c r="AM25" s="310">
        <v>8</v>
      </c>
      <c r="AN25" s="311">
        <v>9</v>
      </c>
      <c r="AO25" s="312">
        <v>490000</v>
      </c>
      <c r="AP25" s="311" t="s">
        <v>45</v>
      </c>
      <c r="AQ25" s="313">
        <f>AVERAGE(Q25,S25,T25)+IF(OR(Q25&gt;7,AND(Q25&gt;5,T25&gt;5)),0.5,0)+IF(S25&gt;7,0.25,0)+IF(Q25&lt;6,-0.5*(6-Q25),0)</f>
        <v>6.833333333333333</v>
      </c>
      <c r="AR25" s="314" t="str">
        <f>IF(AQ25&gt;9,"SuperStar",IF(AQ25&gt;8,"Star",IF(AQ25&gt;6.5,"GoodReg",IF(AQ25&gt;5,"Reg",IF(AQ25&gt;4,"Bench","Minors")))))</f>
        <v>GoodReg</v>
      </c>
      <c r="AS25" s="313">
        <f>AVERAGE(V25,X25,Y25)+IF(OR(V25&gt;7,AND(V25&gt;5,Y25&gt;5)),0.5,0)+IF(X25&gt;7,0.25,0)+IF(V25&lt;6,-0.5*(6-V25),0)</f>
        <v>6.833333333333333</v>
      </c>
      <c r="AT25" s="313" t="str">
        <f>IF(AS25&gt;9,"SuperStar",IF(AS25&gt;8,"Star",IF(AS25&gt;6.5,"GoodReg",IF(AS25&gt;5,"Reg",IF(AS25&gt;4,"Bench","Minors")))))</f>
        <v>GoodReg</v>
      </c>
      <c r="AU25" s="314">
        <f>MIN(AQ25+(MAX(0,25-J25))^1.5,AS25)</f>
        <v>6.833333333333333</v>
      </c>
      <c r="AV25" s="314" t="str">
        <f>IF(AU25&gt;9,"SuperStar",IF(AU25&gt;8,"Star",IF(AU25&gt;6.5,"GoodReg",IF(AU25&gt;5,"Reg",IF(AU25&gt;4,"Bench","Minors")))))</f>
        <v>GoodReg</v>
      </c>
      <c r="AW25" s="315">
        <f>IF(AND(OR(Q25+T25&gt;12,AND(Q25&gt;6,T25&gt;6)),AL25&gt;6,OR(AM25&gt;=AL25,AM25&gt;6)),1,0)</f>
        <v>0</v>
      </c>
      <c r="AX25" s="316">
        <f>IF(OR(AND(Q25&gt;6,U25&gt;6),Q25+T25&gt;12),1,0)</f>
        <v>1</v>
      </c>
      <c r="AY25" s="316">
        <f>IF(AND(Q25&gt;6,S25&gt;6,T25&gt;6),1,0)</f>
        <v>0</v>
      </c>
      <c r="AZ25" s="316">
        <f>IF(AND(S25&gt;7,OR(Q25&gt;6,T25&gt;6)),1,0)</f>
        <v>0</v>
      </c>
      <c r="BA25" s="316">
        <f>IF(AND(S25&gt;6,OR(Q25&gt;6,T25&gt;6)),1,0)</f>
        <v>0</v>
      </c>
      <c r="BB25" s="316">
        <f>IF(AND(OR(Q25&gt;6,S25&gt;6),OR(Q25&gt;6,T25&gt;6)),1,0)</f>
        <v>0</v>
      </c>
      <c r="BC25" s="316">
        <f>IF(AND(Q25&gt;4,OR(Q25&gt;6,S25&gt;6,T25&gt;6)),1,0)</f>
        <v>1</v>
      </c>
      <c r="BD25" s="316">
        <f>IF(AND(Q25&gt;4,OR(Q25&gt;6,R25&gt;6,S25&gt;6,T25&gt;6)),1,0)</f>
        <v>1</v>
      </c>
      <c r="BE25" s="311">
        <f>IF(AND(Q25&gt;4,MAX(Q25:U25)&gt;6),1,0)</f>
        <v>1</v>
      </c>
      <c r="BF25" s="315">
        <f>IF(AND(OR(V25+Y25&gt;12,AND(V25&gt;6,Y25&gt;6)),AL25&gt;6,OR(AM25&gt;=AL25,AM25&gt;6)),1,0)</f>
        <v>0</v>
      </c>
      <c r="BG25" s="316">
        <f>IF(OR(AND(V25&gt;6,Z25&gt;6),V25+Y25&gt;12),1,0)</f>
        <v>1</v>
      </c>
      <c r="BH25" s="316">
        <f>IF(AND(V25&gt;6,X25&gt;6,Y25&gt;6),1,0)</f>
        <v>0</v>
      </c>
      <c r="BI25" s="316">
        <f>IF(AND(X25&gt;7,OR(V25&gt;6,Y25&gt;6)),1,0)</f>
        <v>0</v>
      </c>
      <c r="BJ25" s="316">
        <f>IF(AND(X25&gt;6,OR(V25&gt;6,Y25&gt;6)),1,0)</f>
        <v>0</v>
      </c>
      <c r="BK25" s="316">
        <f>IF(AND(OR(V25&gt;6,X25&gt;6),OR(V25&gt;6,Y25&gt;6)),1,0)</f>
        <v>0</v>
      </c>
      <c r="BL25" s="316">
        <f>IF(AND(V25&gt;4,OR(V25&gt;6,X25&gt;6,Y25&gt;6)),1,0)</f>
        <v>1</v>
      </c>
      <c r="BM25" s="316">
        <f>IF(AND(V25&gt;4,OR(V25&gt;6,W25&gt;6,X25&gt;6,Y25&gt;6)),1,0)</f>
        <v>1</v>
      </c>
      <c r="BN25" s="311">
        <f>IF(AND(V25&gt;4,MAX(V25:Z25)&gt;6),1,0)</f>
        <v>1</v>
      </c>
      <c r="BO25" s="311">
        <f>IF(AVERAGE(AL25:AM25)&gt;9,1,0)+IF(AVERAGE(AL25:AM25)&gt;7,1,0)+IF(AL25&gt;7,1,0)+IF(AM25&gt;7,1,0)+IF(AN25&gt;8,1,0)+IF(AN25&gt;6,1,0)</f>
        <v>3</v>
      </c>
      <c r="BP25" s="317">
        <f>IF(OR(MAX(AD25,AE25,AI25,AK25)&gt;6,MAX(AF25,AG25,AH25,AJ25)&gt;7),2,IF(MAX(AD25:AK25)&gt;4,1,0))</f>
        <v>2</v>
      </c>
      <c r="BQ25" s="310" t="str">
        <f>IF(AP25=1,"Yes","")</f>
        <v/>
      </c>
      <c r="BR25" s="309" t="str">
        <f>IF($A25="ML","There",IF(AND($V25&gt;=6,AVERAGE($X25:$Y25)&gt;=6),"Likely",IF(OR($V25&gt;6,AND($V25=6,AVERAGE($X25:$Y25)&gt;=3),AND($V25&gt;=5,AVERAGE($X25:$Y25)&gt;=5),AVERAGE($V25,$X25:$Y25)&gt;5),"Possible","Unlikely")))</f>
        <v>Likely</v>
      </c>
      <c r="BS25" s="310" t="str">
        <f>IF(OR(AND(Q25&gt;=6,S25+T25&gt;=12),Q25&gt;7),"Start",IF(AND(Q25&gt;=5,S25+T25&gt;=8),"Bench","aack!"))</f>
        <v>Start</v>
      </c>
      <c r="BT25" s="310" t="str">
        <f>IF(OR(AND(V25&gt;=6,X25+Y25&gt;=12),V25&gt;7),"Start",IF(AND(V25&gt;=5,X25+Y25&gt;=8),"Bench","aack!"))</f>
        <v>Start</v>
      </c>
      <c r="BU25" s="310" t="str">
        <f>IF(Q25&gt;5,"ML",IF(Q25=5,"AAA",IF(Q25=4,"AA",IF(Q25=3,"A","SS-A"))))</f>
        <v>ML</v>
      </c>
      <c r="BV25" s="310">
        <f>Q25-V25</f>
        <v>0</v>
      </c>
      <c r="BW25" s="310">
        <f>R25-W25</f>
        <v>0</v>
      </c>
      <c r="BX25" s="310">
        <f>S25-X25</f>
        <v>0</v>
      </c>
      <c r="BY25" s="310">
        <f>T25-Y25</f>
        <v>0</v>
      </c>
      <c r="BZ25" s="310">
        <f>U25-Z25</f>
        <v>-1</v>
      </c>
      <c r="CA25" s="310">
        <f>SUM(BV25:BZ25)</f>
        <v>-1</v>
      </c>
      <c r="CB25" s="310">
        <f>V25+X25+Y25</f>
        <v>19</v>
      </c>
      <c r="CC25" s="310">
        <f>V25+X25</f>
        <v>12</v>
      </c>
      <c r="CD25" s="310">
        <f>V25+Y25</f>
        <v>13</v>
      </c>
      <c r="CE25" s="310" t="str">
        <f>IF(J25&gt;24,"Now - Age",IF(Q25&gt;6,"Now",IF(V25&lt;6,"With Dev",MIN(V25-Q25,7-Q25))))</f>
        <v>Now - Age</v>
      </c>
      <c r="CF25" s="325" t="str">
        <f t="shared" si="3"/>
        <v/>
      </c>
      <c r="CG25" s="325" t="str">
        <f t="shared" si="5"/>
        <v/>
      </c>
      <c r="CH25" s="325" t="str">
        <f t="shared" si="6"/>
        <v/>
      </c>
      <c r="CI25" s="325" t="str">
        <f t="shared" si="7"/>
        <v/>
      </c>
      <c r="CJ25" s="325" t="str">
        <f t="shared" si="8"/>
        <v/>
      </c>
      <c r="CK25" s="325" t="str">
        <f t="shared" si="9"/>
        <v>X</v>
      </c>
      <c r="CL25" s="325" t="str">
        <f t="shared" si="10"/>
        <v/>
      </c>
      <c r="CM25" s="325" t="str">
        <f t="shared" si="11"/>
        <v/>
      </c>
      <c r="CN25" s="325" t="str">
        <f t="shared" si="4"/>
        <v/>
      </c>
    </row>
    <row r="26" spans="1:92">
      <c r="A26" s="308" t="s">
        <v>213</v>
      </c>
      <c r="B26" s="309" t="s">
        <v>18</v>
      </c>
      <c r="C26" s="310">
        <f>IF(BH26=1,3,IF(BI26=1,4,IF(BF26=1,1,IF(BJ26=1,5,IF(BG26=1,2,IF(BK26=1,6,IF(BL26=1,7,IF(BM26=1,8,IF(BN26=1,9,"-")))))))))</f>
        <v>7</v>
      </c>
      <c r="D26" s="310">
        <f>IF(AY26=1,3,IF(AZ26=1,4,IF(AW26=1,1,IF(BA26=1,5,IF(AX26=1,2,IF(BB26=1,6,IF(BC26=1,7,IF(BD26=1,8,IF(BE26=1,9,"-")))))))))</f>
        <v>7</v>
      </c>
      <c r="E26" s="310" t="str">
        <f>IF(OR(OR(O26="Very High",O26="High"),AND(OR(O26="Very High",O26="High",O26="Normal"),OR(P26="Very High",P26="High"))),"K","T")</f>
        <v>T</v>
      </c>
      <c r="F26" s="310" t="s">
        <v>97</v>
      </c>
      <c r="G26" s="310" t="s">
        <v>472</v>
      </c>
      <c r="H26" s="310" t="s">
        <v>25</v>
      </c>
      <c r="I26" s="310" t="s">
        <v>212</v>
      </c>
      <c r="J26" s="310">
        <v>28</v>
      </c>
      <c r="K26" s="310" t="s">
        <v>107</v>
      </c>
      <c r="L26" s="310" t="s">
        <v>107</v>
      </c>
      <c r="M26" s="310" t="s">
        <v>42</v>
      </c>
      <c r="N26" s="311" t="s">
        <v>42</v>
      </c>
      <c r="O26" s="310" t="s">
        <v>230</v>
      </c>
      <c r="P26" s="311" t="s">
        <v>230</v>
      </c>
      <c r="Q26" s="310">
        <v>5</v>
      </c>
      <c r="R26" s="310">
        <v>9</v>
      </c>
      <c r="S26" s="310">
        <v>9</v>
      </c>
      <c r="T26" s="310">
        <v>6</v>
      </c>
      <c r="U26" s="311">
        <v>3</v>
      </c>
      <c r="V26" s="310">
        <v>5</v>
      </c>
      <c r="W26" s="310">
        <v>9</v>
      </c>
      <c r="X26" s="310">
        <v>9</v>
      </c>
      <c r="Y26" s="310">
        <v>6</v>
      </c>
      <c r="Z26" s="311">
        <v>3</v>
      </c>
      <c r="AA26" s="310">
        <v>3</v>
      </c>
      <c r="AB26" s="310">
        <v>3</v>
      </c>
      <c r="AC26" s="310">
        <v>1</v>
      </c>
      <c r="AD26" s="310" t="s">
        <v>41</v>
      </c>
      <c r="AE26" s="310">
        <v>6</v>
      </c>
      <c r="AF26" s="310" t="s">
        <v>41</v>
      </c>
      <c r="AG26" s="310" t="s">
        <v>41</v>
      </c>
      <c r="AH26" s="310" t="s">
        <v>41</v>
      </c>
      <c r="AI26" s="310" t="s">
        <v>41</v>
      </c>
      <c r="AJ26" s="310" t="s">
        <v>41</v>
      </c>
      <c r="AK26" s="311" t="s">
        <v>41</v>
      </c>
      <c r="AL26" s="310">
        <v>1</v>
      </c>
      <c r="AM26" s="310">
        <v>3</v>
      </c>
      <c r="AN26" s="311">
        <v>3</v>
      </c>
      <c r="AO26" s="312">
        <v>490000</v>
      </c>
      <c r="AP26" s="311" t="s">
        <v>45</v>
      </c>
      <c r="AQ26" s="313">
        <f>AVERAGE(Q26,S26,T26)+IF(OR(Q26&gt;7,AND(Q26&gt;5,T26&gt;5)),0.5,0)+IF(S26&gt;7,0.25,0)+IF(Q26&lt;6,-0.5*(6-Q26),0)</f>
        <v>6.416666666666667</v>
      </c>
      <c r="AR26" s="314" t="str">
        <f>IF(AQ26&gt;9,"SuperStar",IF(AQ26&gt;8,"Star",IF(AQ26&gt;6.5,"GoodReg",IF(AQ26&gt;5,"Reg",IF(AQ26&gt;4,"Bench","Minors")))))</f>
        <v>Reg</v>
      </c>
      <c r="AS26" s="313">
        <f>AVERAGE(V26,X26,Y26)+IF(OR(V26&gt;7,AND(V26&gt;5,Y26&gt;5)),0.5,0)+IF(X26&gt;7,0.25,0)+IF(V26&lt;6,-0.5*(6-V26),0)</f>
        <v>6.416666666666667</v>
      </c>
      <c r="AT26" s="313" t="str">
        <f>IF(AS26&gt;9,"SuperStar",IF(AS26&gt;8,"Star",IF(AS26&gt;6.5,"GoodReg",IF(AS26&gt;5,"Reg",IF(AS26&gt;4,"Bench","Minors")))))</f>
        <v>Reg</v>
      </c>
      <c r="AU26" s="314">
        <f>MIN(AQ26+(MAX(0,25-J26))^1.5,AS26)</f>
        <v>6.416666666666667</v>
      </c>
      <c r="AV26" s="314" t="str">
        <f>IF(AU26&gt;9,"SuperStar",IF(AU26&gt;8,"Star",IF(AU26&gt;6.5,"GoodReg",IF(AU26&gt;5,"Reg",IF(AU26&gt;4,"Bench","Minors")))))</f>
        <v>Reg</v>
      </c>
      <c r="AW26" s="315">
        <f>IF(AND(OR(Q26+T26&gt;12,AND(Q26&gt;6,T26&gt;6)),AL26&gt;6,OR(AM26&gt;=AL26,AM26&gt;6)),1,0)</f>
        <v>0</v>
      </c>
      <c r="AX26" s="316">
        <f>IF(OR(AND(Q26&gt;6,U26&gt;6),Q26+T26&gt;12),1,0)</f>
        <v>0</v>
      </c>
      <c r="AY26" s="316">
        <f>IF(AND(Q26&gt;6,S26&gt;6,T26&gt;6),1,0)</f>
        <v>0</v>
      </c>
      <c r="AZ26" s="316">
        <f>IF(AND(S26&gt;7,OR(Q26&gt;6,T26&gt;6)),1,0)</f>
        <v>0</v>
      </c>
      <c r="BA26" s="316">
        <f>IF(AND(S26&gt;6,OR(Q26&gt;6,T26&gt;6)),1,0)</f>
        <v>0</v>
      </c>
      <c r="BB26" s="316">
        <f>IF(AND(OR(Q26&gt;6,S26&gt;6),OR(Q26&gt;6,T26&gt;6)),1,0)</f>
        <v>0</v>
      </c>
      <c r="BC26" s="316">
        <f>IF(AND(Q26&gt;4,OR(Q26&gt;6,S26&gt;6,T26&gt;6)),1,0)</f>
        <v>1</v>
      </c>
      <c r="BD26" s="316">
        <f>IF(AND(Q26&gt;4,OR(Q26&gt;6,R26&gt;6,S26&gt;6,T26&gt;6)),1,0)</f>
        <v>1</v>
      </c>
      <c r="BE26" s="311">
        <f>IF(AND(Q26&gt;4,MAX(Q26:U26)&gt;6),1,0)</f>
        <v>1</v>
      </c>
      <c r="BF26" s="315">
        <f>IF(AND(OR(V26+Y26&gt;12,AND(V26&gt;6,Y26&gt;6)),AL26&gt;6,OR(AM26&gt;=AL26,AM26&gt;6)),1,0)</f>
        <v>0</v>
      </c>
      <c r="BG26" s="316">
        <f>IF(OR(AND(V26&gt;6,Z26&gt;6),V26+Y26&gt;12),1,0)</f>
        <v>0</v>
      </c>
      <c r="BH26" s="316">
        <f>IF(AND(V26&gt;6,X26&gt;6,Y26&gt;6),1,0)</f>
        <v>0</v>
      </c>
      <c r="BI26" s="316">
        <f>IF(AND(X26&gt;7,OR(V26&gt;6,Y26&gt;6)),1,0)</f>
        <v>0</v>
      </c>
      <c r="BJ26" s="316">
        <f>IF(AND(X26&gt;6,OR(V26&gt;6,Y26&gt;6)),1,0)</f>
        <v>0</v>
      </c>
      <c r="BK26" s="316">
        <f>IF(AND(OR(V26&gt;6,X26&gt;6),OR(V26&gt;6,Y26&gt;6)),1,0)</f>
        <v>0</v>
      </c>
      <c r="BL26" s="316">
        <f>IF(AND(V26&gt;4,OR(V26&gt;6,X26&gt;6,Y26&gt;6)),1,0)</f>
        <v>1</v>
      </c>
      <c r="BM26" s="316">
        <f>IF(AND(V26&gt;4,OR(V26&gt;6,W26&gt;6,X26&gt;6,Y26&gt;6)),1,0)</f>
        <v>1</v>
      </c>
      <c r="BN26" s="311">
        <f>IF(AND(V26&gt;4,MAX(V26:Z26)&gt;6),1,0)</f>
        <v>1</v>
      </c>
      <c r="BO26" s="311">
        <f>IF(AVERAGE(AL26:AM26)&gt;9,1,0)+IF(AVERAGE(AL26:AM26)&gt;7,1,0)+IF(AL26&gt;7,1,0)+IF(AM26&gt;7,1,0)+IF(AN26&gt;8,1,0)+IF(AN26&gt;6,1,0)</f>
        <v>0</v>
      </c>
      <c r="BP26" s="317">
        <f>IF(OR(MAX(AD26,AE26,AI26,AK26)&gt;6,MAX(AF26,AG26,AH26,AJ26)&gt;7),2,IF(MAX(AD26:AK26)&gt;4,1,0))</f>
        <v>1</v>
      </c>
      <c r="BQ26" s="310" t="str">
        <f>IF(AP26=1,"Yes","")</f>
        <v/>
      </c>
      <c r="BR26" s="309" t="str">
        <f>IF($A26="ML","There",IF(AND($V26&gt;=6,AVERAGE($X26:$Y26)&gt;=6),"Likely",IF(OR($V26&gt;6,AND($V26=6,AVERAGE($X26:$Y26)&gt;=3),AND($V26&gt;=5,AVERAGE($X26:$Y26)&gt;=5),AVERAGE($V26,$X26:$Y26)&gt;5),"Possible","Unlikely")))</f>
        <v>Possible</v>
      </c>
      <c r="BS26" s="310" t="str">
        <f>IF(OR(AND(Q26&gt;=6,S26+T26&gt;=12),Q26&gt;7),"Start",IF(AND(Q26&gt;=5,S26+T26&gt;=8),"Bench","aack!"))</f>
        <v>Bench</v>
      </c>
      <c r="BT26" s="310" t="str">
        <f>IF(OR(AND(V26&gt;=6,X26+Y26&gt;=12),V26&gt;7),"Start",IF(AND(V26&gt;=5,X26+Y26&gt;=8),"Bench","aack!"))</f>
        <v>Bench</v>
      </c>
      <c r="BU26" s="310" t="str">
        <f>IF(Q26&gt;5,"ML",IF(Q26=5,"AAA",IF(Q26=4,"AA",IF(Q26=3,"A","SS-A"))))</f>
        <v>AAA</v>
      </c>
      <c r="BV26" s="310">
        <f>Q26-V26</f>
        <v>0</v>
      </c>
      <c r="BW26" s="310">
        <f>R26-W26</f>
        <v>0</v>
      </c>
      <c r="BX26" s="310">
        <f>S26-X26</f>
        <v>0</v>
      </c>
      <c r="BY26" s="310">
        <f>T26-Y26</f>
        <v>0</v>
      </c>
      <c r="BZ26" s="310">
        <f>U26-Z26</f>
        <v>0</v>
      </c>
      <c r="CA26" s="310">
        <f>SUM(BV26:BZ26)</f>
        <v>0</v>
      </c>
      <c r="CB26" s="310">
        <f>V26+X26+Y26</f>
        <v>20</v>
      </c>
      <c r="CC26" s="310">
        <f>V26+X26</f>
        <v>14</v>
      </c>
      <c r="CD26" s="310">
        <f>V26+Y26</f>
        <v>11</v>
      </c>
      <c r="CE26" s="310" t="str">
        <f>IF(J26&gt;24,"Now - Age",IF(Q26&gt;6,"Now",IF(V26&lt;6,"With Dev",MIN(V26-Q26,7-Q26))))</f>
        <v>Now - Age</v>
      </c>
      <c r="CF26" s="325" t="str">
        <f t="shared" si="3"/>
        <v/>
      </c>
      <c r="CG26" s="325" t="str">
        <f t="shared" si="5"/>
        <v>X</v>
      </c>
      <c r="CH26" s="325" t="str">
        <f t="shared" si="6"/>
        <v/>
      </c>
      <c r="CI26" s="325" t="str">
        <f t="shared" si="7"/>
        <v/>
      </c>
      <c r="CJ26" s="325" t="str">
        <f t="shared" si="8"/>
        <v/>
      </c>
      <c r="CK26" s="325" t="str">
        <f t="shared" si="9"/>
        <v/>
      </c>
      <c r="CL26" s="325" t="str">
        <f t="shared" si="10"/>
        <v/>
      </c>
      <c r="CM26" s="325" t="str">
        <f t="shared" si="11"/>
        <v/>
      </c>
      <c r="CN26" s="325" t="str">
        <f t="shared" si="4"/>
        <v/>
      </c>
    </row>
    <row r="27" spans="1:92">
      <c r="A27" s="308" t="s">
        <v>213</v>
      </c>
      <c r="B27" s="309" t="s">
        <v>98</v>
      </c>
      <c r="C27" s="310">
        <f>IF(BH27=1,3,IF(BI27=1,4,IF(BF27=1,1,IF(BJ27=1,5,IF(BG27=1,2,IF(BK27=1,6,IF(BL27=1,7,IF(BM27=1,8,IF(BN27=1,9,"-")))))))))</f>
        <v>1</v>
      </c>
      <c r="D27" s="310">
        <f>IF(AY27=1,3,IF(AZ27=1,4,IF(AW27=1,1,IF(BA27=1,5,IF(AX27=1,2,IF(BB27=1,6,IF(BC27=1,7,IF(BD27=1,8,IF(BE27=1,9,"-")))))))))</f>
        <v>1</v>
      </c>
      <c r="E27" s="310" t="str">
        <f>IF(OR(OR(O27="Very High",O27="High"),AND(OR(O27="Very High",O27="High",O27="Normal"),OR(P27="Very High",P27="High"))),"K","T")</f>
        <v>K</v>
      </c>
      <c r="F27" s="310" t="s">
        <v>98</v>
      </c>
      <c r="G27" s="310" t="s">
        <v>498</v>
      </c>
      <c r="H27" s="310" t="s">
        <v>384</v>
      </c>
      <c r="I27" s="310" t="s">
        <v>213</v>
      </c>
      <c r="J27" s="310">
        <v>32</v>
      </c>
      <c r="K27" s="310" t="s">
        <v>107</v>
      </c>
      <c r="L27" s="310" t="s">
        <v>107</v>
      </c>
      <c r="M27" s="310" t="s">
        <v>47</v>
      </c>
      <c r="N27" s="311" t="s">
        <v>47</v>
      </c>
      <c r="O27" s="310" t="s">
        <v>230</v>
      </c>
      <c r="P27" s="311" t="s">
        <v>229</v>
      </c>
      <c r="Q27" s="310">
        <v>6</v>
      </c>
      <c r="R27" s="310">
        <v>4</v>
      </c>
      <c r="S27" s="310">
        <v>3</v>
      </c>
      <c r="T27" s="310">
        <v>8</v>
      </c>
      <c r="U27" s="311">
        <v>6</v>
      </c>
      <c r="V27" s="310">
        <v>6</v>
      </c>
      <c r="W27" s="310">
        <v>4</v>
      </c>
      <c r="X27" s="310">
        <v>3</v>
      </c>
      <c r="Y27" s="310">
        <v>8</v>
      </c>
      <c r="Z27" s="311">
        <v>6</v>
      </c>
      <c r="AA27" s="310">
        <v>4</v>
      </c>
      <c r="AB27" s="310">
        <v>2</v>
      </c>
      <c r="AC27" s="310">
        <v>1</v>
      </c>
      <c r="AD27" s="310" t="s">
        <v>41</v>
      </c>
      <c r="AE27" s="310" t="s">
        <v>41</v>
      </c>
      <c r="AF27" s="310">
        <v>6</v>
      </c>
      <c r="AG27" s="310">
        <v>1</v>
      </c>
      <c r="AH27" s="310">
        <v>2</v>
      </c>
      <c r="AI27" s="310" t="s">
        <v>41</v>
      </c>
      <c r="AJ27" s="310" t="s">
        <v>41</v>
      </c>
      <c r="AK27" s="311" t="s">
        <v>41</v>
      </c>
      <c r="AL27" s="310">
        <v>7</v>
      </c>
      <c r="AM27" s="310">
        <v>10</v>
      </c>
      <c r="AN27" s="311">
        <v>10</v>
      </c>
      <c r="AO27" s="312" t="s">
        <v>41</v>
      </c>
      <c r="AP27" s="311">
        <v>1</v>
      </c>
      <c r="AQ27" s="313">
        <f>AVERAGE(Q27,S27,T27)+IF(OR(Q27&gt;7,AND(Q27&gt;5,T27&gt;5)),0.5,0)+IF(S27&gt;7,0.25,0)+IF(Q27&lt;6,-0.5*(6-Q27),0)</f>
        <v>6.166666666666667</v>
      </c>
      <c r="AR27" s="314" t="str">
        <f>IF(AQ27&gt;9,"SuperStar",IF(AQ27&gt;8,"Star",IF(AQ27&gt;6.5,"GoodReg",IF(AQ27&gt;5,"Reg",IF(AQ27&gt;4,"Bench","Minors")))))</f>
        <v>Reg</v>
      </c>
      <c r="AS27" s="313">
        <f>AVERAGE(V27,X27,Y27)+IF(OR(V27&gt;7,AND(V27&gt;5,Y27&gt;5)),0.5,0)+IF(X27&gt;7,0.25,0)+IF(V27&lt;6,-0.5*(6-V27),0)</f>
        <v>6.166666666666667</v>
      </c>
      <c r="AT27" s="313" t="str">
        <f>IF(AS27&gt;9,"SuperStar",IF(AS27&gt;8,"Star",IF(AS27&gt;6.5,"GoodReg",IF(AS27&gt;5,"Reg",IF(AS27&gt;4,"Bench","Minors")))))</f>
        <v>Reg</v>
      </c>
      <c r="AU27" s="314">
        <f>MIN(AQ27+(MAX(0,25-J27))^1.5,AS27)</f>
        <v>6.166666666666667</v>
      </c>
      <c r="AV27" s="314" t="str">
        <f>IF(AU27&gt;9,"SuperStar",IF(AU27&gt;8,"Star",IF(AU27&gt;6.5,"GoodReg",IF(AU27&gt;5,"Reg",IF(AU27&gt;4,"Bench","Minors")))))</f>
        <v>Reg</v>
      </c>
      <c r="AW27" s="315">
        <f>IF(AND(OR(Q27+T27&gt;12,AND(Q27&gt;6,T27&gt;6)),AL27&gt;6,OR(AM27&gt;=AL27,AM27&gt;6)),1,0)</f>
        <v>1</v>
      </c>
      <c r="AX27" s="316">
        <f>IF(OR(AND(Q27&gt;6,U27&gt;6),Q27+T27&gt;12),1,0)</f>
        <v>1</v>
      </c>
      <c r="AY27" s="316">
        <f>IF(AND(Q27&gt;6,S27&gt;6,T27&gt;6),1,0)</f>
        <v>0</v>
      </c>
      <c r="AZ27" s="316">
        <f>IF(AND(S27&gt;7,OR(Q27&gt;6,T27&gt;6)),1,0)</f>
        <v>0</v>
      </c>
      <c r="BA27" s="316">
        <f>IF(AND(S27&gt;6,OR(Q27&gt;6,T27&gt;6)),1,0)</f>
        <v>0</v>
      </c>
      <c r="BB27" s="316">
        <f>IF(AND(OR(Q27&gt;6,S27&gt;6),OR(Q27&gt;6,T27&gt;6)),1,0)</f>
        <v>0</v>
      </c>
      <c r="BC27" s="316">
        <f>IF(AND(Q27&gt;4,OR(Q27&gt;6,S27&gt;6,T27&gt;6)),1,0)</f>
        <v>1</v>
      </c>
      <c r="BD27" s="316">
        <f>IF(AND(Q27&gt;4,OR(Q27&gt;6,R27&gt;6,S27&gt;6,T27&gt;6)),1,0)</f>
        <v>1</v>
      </c>
      <c r="BE27" s="311">
        <f>IF(AND(Q27&gt;4,MAX(Q27:U27)&gt;6),1,0)</f>
        <v>1</v>
      </c>
      <c r="BF27" s="315">
        <f>IF(AND(OR(V27+Y27&gt;12,AND(V27&gt;6,Y27&gt;6)),AL27&gt;6,OR(AM27&gt;=AL27,AM27&gt;6)),1,0)</f>
        <v>1</v>
      </c>
      <c r="BG27" s="316">
        <f>IF(OR(AND(V27&gt;6,Z27&gt;6),V27+Y27&gt;12),1,0)</f>
        <v>1</v>
      </c>
      <c r="BH27" s="316">
        <f>IF(AND(V27&gt;6,X27&gt;6,Y27&gt;6),1,0)</f>
        <v>0</v>
      </c>
      <c r="BI27" s="316">
        <f>IF(AND(X27&gt;7,OR(V27&gt;6,Y27&gt;6)),1,0)</f>
        <v>0</v>
      </c>
      <c r="BJ27" s="316">
        <f>IF(AND(X27&gt;6,OR(V27&gt;6,Y27&gt;6)),1,0)</f>
        <v>0</v>
      </c>
      <c r="BK27" s="316">
        <f>IF(AND(OR(V27&gt;6,X27&gt;6),OR(V27&gt;6,Y27&gt;6)),1,0)</f>
        <v>0</v>
      </c>
      <c r="BL27" s="316">
        <f>IF(AND(V27&gt;4,OR(V27&gt;6,X27&gt;6,Y27&gt;6)),1,0)</f>
        <v>1</v>
      </c>
      <c r="BM27" s="316">
        <f>IF(AND(V27&gt;4,OR(V27&gt;6,W27&gt;6,X27&gt;6,Y27&gt;6)),1,0)</f>
        <v>1</v>
      </c>
      <c r="BN27" s="311">
        <f>IF(AND(V27&gt;4,MAX(V27:Z27)&gt;6),1,0)</f>
        <v>1</v>
      </c>
      <c r="BO27" s="311">
        <f>IF(AVERAGE(AL27:AM27)&gt;9,1,0)+IF(AVERAGE(AL27:AM27)&gt;7,1,0)+IF(AL27&gt;7,1,0)+IF(AM27&gt;7,1,0)+IF(AN27&gt;8,1,0)+IF(AN27&gt;6,1,0)</f>
        <v>4</v>
      </c>
      <c r="BP27" s="317">
        <f>IF(OR(MAX(AD27,AE27,AI27,AK27)&gt;6,MAX(AF27,AG27,AH27,AJ27)&gt;7),2,IF(MAX(AD27:AK27)&gt;4,1,0))</f>
        <v>1</v>
      </c>
      <c r="BQ27" s="310" t="str">
        <f>IF(AP27=1,"Yes","")</f>
        <v>Yes</v>
      </c>
      <c r="BR27" s="309" t="str">
        <f>IF($A27="ML","There",IF(AND($V27&gt;=6,AVERAGE($X27:$Y27)&gt;=6),"Likely",IF(OR($V27&gt;6,AND($V27=6,AVERAGE($X27:$Y27)&gt;=3),AND($V27&gt;=5,AVERAGE($X27:$Y27)&gt;=5),AVERAGE($V27,$X27:$Y27)&gt;5),"Possible","Unlikely")))</f>
        <v>Possible</v>
      </c>
      <c r="BS27" s="310" t="str">
        <f>IF(OR(AND(Q27&gt;=6,S27+T27&gt;=12),Q27&gt;7),"Start",IF(AND(Q27&gt;=5,S27+T27&gt;=8),"Bench","aack!"))</f>
        <v>Bench</v>
      </c>
      <c r="BT27" s="310" t="str">
        <f>IF(OR(AND(V27&gt;=6,X27+Y27&gt;=12),V27&gt;7),"Start",IF(AND(V27&gt;=5,X27+Y27&gt;=8),"Bench","aack!"))</f>
        <v>Bench</v>
      </c>
      <c r="BU27" s="310" t="str">
        <f>IF(Q27&gt;5,"ML",IF(Q27=5,"AAA",IF(Q27=4,"AA",IF(Q27=3,"A","SS-A"))))</f>
        <v>ML</v>
      </c>
      <c r="BV27" s="310">
        <f>Q27-V27</f>
        <v>0</v>
      </c>
      <c r="BW27" s="310">
        <f>R27-W27</f>
        <v>0</v>
      </c>
      <c r="BX27" s="310">
        <f>S27-X27</f>
        <v>0</v>
      </c>
      <c r="BY27" s="310">
        <f>T27-Y27</f>
        <v>0</v>
      </c>
      <c r="BZ27" s="310">
        <f>U27-Z27</f>
        <v>0</v>
      </c>
      <c r="CA27" s="310">
        <f>SUM(BV27:BZ27)</f>
        <v>0</v>
      </c>
      <c r="CB27" s="310">
        <f>V27+X27+Y27</f>
        <v>17</v>
      </c>
      <c r="CC27" s="310">
        <f>V27+X27</f>
        <v>9</v>
      </c>
      <c r="CD27" s="310">
        <f>V27+Y27</f>
        <v>14</v>
      </c>
      <c r="CE27" s="310" t="str">
        <f>IF(J27&gt;24,"Now - Age",IF(Q27&gt;6,"Now",IF(V27&lt;6,"With Dev",MIN(V27-Q27,7-Q27))))</f>
        <v>Now - Age</v>
      </c>
      <c r="CF27" s="325" t="str">
        <f t="shared" si="3"/>
        <v/>
      </c>
      <c r="CG27" s="325" t="str">
        <f t="shared" si="5"/>
        <v/>
      </c>
      <c r="CH27" s="325" t="str">
        <f t="shared" si="6"/>
        <v>X</v>
      </c>
      <c r="CI27" s="325" t="str">
        <f t="shared" si="7"/>
        <v/>
      </c>
      <c r="CJ27" s="325" t="str">
        <f t="shared" si="8"/>
        <v/>
      </c>
      <c r="CK27" s="325" t="str">
        <f t="shared" si="9"/>
        <v/>
      </c>
      <c r="CL27" s="325" t="str">
        <f t="shared" si="10"/>
        <v/>
      </c>
      <c r="CM27" s="325" t="str">
        <f t="shared" si="11"/>
        <v/>
      </c>
      <c r="CN27" s="325" t="str">
        <f t="shared" si="4"/>
        <v/>
      </c>
    </row>
    <row r="28" spans="1:92">
      <c r="A28" s="308" t="s">
        <v>213</v>
      </c>
      <c r="B28" s="309" t="s">
        <v>582</v>
      </c>
      <c r="C28" s="310">
        <f>IF(BH28=1,3,IF(BI28=1,4,IF(BF28=1,1,IF(BJ28=1,5,IF(BG28=1,2,IF(BK28=1,6,IF(BL28=1,7,IF(BM28=1,8,IF(BN28=1,9,"-")))))))))</f>
        <v>2</v>
      </c>
      <c r="D28" s="310">
        <f>IF(AY28=1,3,IF(AZ28=1,4,IF(AW28=1,1,IF(BA28=1,5,IF(AX28=1,2,IF(BB28=1,6,IF(BC28=1,7,IF(BD28=1,8,IF(BE28=1,9,"-")))))))))</f>
        <v>2</v>
      </c>
      <c r="E28" s="310" t="str">
        <f>IF(OR(OR(O28="Very High",O28="High"),AND(OR(O28="Very High",O28="High",O28="Normal"),OR(P28="Very High",P28="High"))),"K","T")</f>
        <v>K</v>
      </c>
      <c r="F28" s="310" t="s">
        <v>100</v>
      </c>
      <c r="G28" s="310" t="s">
        <v>200</v>
      </c>
      <c r="H28" s="310" t="s">
        <v>384</v>
      </c>
      <c r="I28" s="310" t="s">
        <v>213</v>
      </c>
      <c r="J28" s="310">
        <v>28</v>
      </c>
      <c r="K28" s="310" t="s">
        <v>107</v>
      </c>
      <c r="L28" s="310" t="s">
        <v>107</v>
      </c>
      <c r="M28" s="310" t="s">
        <v>47</v>
      </c>
      <c r="N28" s="311" t="s">
        <v>42</v>
      </c>
      <c r="O28" s="310" t="s">
        <v>229</v>
      </c>
      <c r="P28" s="311" t="s">
        <v>232</v>
      </c>
      <c r="Q28" s="310">
        <v>7</v>
      </c>
      <c r="R28" s="310">
        <v>7</v>
      </c>
      <c r="S28" s="310">
        <v>4</v>
      </c>
      <c r="T28" s="310">
        <v>6</v>
      </c>
      <c r="U28" s="311">
        <v>8</v>
      </c>
      <c r="V28" s="310">
        <v>7</v>
      </c>
      <c r="W28" s="310">
        <v>7</v>
      </c>
      <c r="X28" s="310">
        <v>4</v>
      </c>
      <c r="Y28" s="310">
        <v>7</v>
      </c>
      <c r="Z28" s="311">
        <v>8</v>
      </c>
      <c r="AA28" s="310">
        <v>4</v>
      </c>
      <c r="AB28" s="310">
        <v>1</v>
      </c>
      <c r="AC28" s="310">
        <v>1</v>
      </c>
      <c r="AD28" s="310" t="s">
        <v>41</v>
      </c>
      <c r="AE28" s="310" t="s">
        <v>41</v>
      </c>
      <c r="AF28" s="310">
        <v>9</v>
      </c>
      <c r="AG28" s="310">
        <v>2</v>
      </c>
      <c r="AH28" s="310">
        <v>7</v>
      </c>
      <c r="AI28" s="310" t="s">
        <v>41</v>
      </c>
      <c r="AJ28" s="310" t="s">
        <v>41</v>
      </c>
      <c r="AK28" s="311" t="s">
        <v>41</v>
      </c>
      <c r="AL28" s="310">
        <v>3</v>
      </c>
      <c r="AM28" s="310">
        <v>7</v>
      </c>
      <c r="AN28" s="311">
        <v>5</v>
      </c>
      <c r="AO28" s="312">
        <v>900000</v>
      </c>
      <c r="AP28" s="311" t="s">
        <v>46</v>
      </c>
      <c r="AQ28" s="313">
        <f>AVERAGE(Q28,S28,T28)+IF(OR(Q28&gt;7,AND(Q28&gt;5,T28&gt;5)),0.5,0)+IF(S28&gt;7,0.25,0)+IF(Q28&lt;6,-0.5*(6-Q28),0)</f>
        <v>6.166666666666667</v>
      </c>
      <c r="AR28" s="314" t="str">
        <f>IF(AQ28&gt;9,"SuperStar",IF(AQ28&gt;8,"Star",IF(AQ28&gt;6.5,"GoodReg",IF(AQ28&gt;5,"Reg",IF(AQ28&gt;4,"Bench","Minors")))))</f>
        <v>Reg</v>
      </c>
      <c r="AS28" s="313">
        <f>AVERAGE(V28,X28,Y28)+IF(OR(V28&gt;7,AND(V28&gt;5,Y28&gt;5)),0.5,0)+IF(X28&gt;7,0.25,0)+IF(V28&lt;6,-0.5*(6-V28),0)</f>
        <v>6.5</v>
      </c>
      <c r="AT28" s="313" t="str">
        <f>IF(AS28&gt;9,"SuperStar",IF(AS28&gt;8,"Star",IF(AS28&gt;6.5,"GoodReg",IF(AS28&gt;5,"Reg",IF(AS28&gt;4,"Bench","Minors")))))</f>
        <v>Reg</v>
      </c>
      <c r="AU28" s="314">
        <f>MIN(AQ28+(MAX(0,25-J28))^1.5,AS28)</f>
        <v>6.166666666666667</v>
      </c>
      <c r="AV28" s="314" t="str">
        <f>IF(AU28&gt;9,"SuperStar",IF(AU28&gt;8,"Star",IF(AU28&gt;6.5,"GoodReg",IF(AU28&gt;5,"Reg",IF(AU28&gt;4,"Bench","Minors")))))</f>
        <v>Reg</v>
      </c>
      <c r="AW28" s="315">
        <f>IF(AND(OR(Q28+T28&gt;12,AND(Q28&gt;6,T28&gt;6)),AL28&gt;6,OR(AM28&gt;=AL28,AM28&gt;6)),1,0)</f>
        <v>0</v>
      </c>
      <c r="AX28" s="316">
        <f>IF(OR(AND(Q28&gt;6,U28&gt;6),Q28+T28&gt;12),1,0)</f>
        <v>1</v>
      </c>
      <c r="AY28" s="316">
        <f>IF(AND(Q28&gt;6,S28&gt;6,T28&gt;6),1,0)</f>
        <v>0</v>
      </c>
      <c r="AZ28" s="316">
        <f>IF(AND(S28&gt;7,OR(Q28&gt;6,T28&gt;6)),1,0)</f>
        <v>0</v>
      </c>
      <c r="BA28" s="316">
        <f>IF(AND(S28&gt;6,OR(Q28&gt;6,T28&gt;6)),1,0)</f>
        <v>0</v>
      </c>
      <c r="BB28" s="316">
        <f>IF(AND(OR(Q28&gt;6,S28&gt;6),OR(Q28&gt;6,T28&gt;6)),1,0)</f>
        <v>1</v>
      </c>
      <c r="BC28" s="316">
        <f>IF(AND(Q28&gt;4,OR(Q28&gt;6,S28&gt;6,T28&gt;6)),1,0)</f>
        <v>1</v>
      </c>
      <c r="BD28" s="316">
        <f>IF(AND(Q28&gt;4,OR(Q28&gt;6,R28&gt;6,S28&gt;6,T28&gt;6)),1,0)</f>
        <v>1</v>
      </c>
      <c r="BE28" s="311">
        <f>IF(AND(Q28&gt;4,MAX(Q28:U28)&gt;6),1,0)</f>
        <v>1</v>
      </c>
      <c r="BF28" s="315">
        <f>IF(AND(OR(V28+Y28&gt;12,AND(V28&gt;6,Y28&gt;6)),AL28&gt;6,OR(AM28&gt;=AL28,AM28&gt;6)),1,0)</f>
        <v>0</v>
      </c>
      <c r="BG28" s="316">
        <f>IF(OR(AND(V28&gt;6,Z28&gt;6),V28+Y28&gt;12),1,0)</f>
        <v>1</v>
      </c>
      <c r="BH28" s="316">
        <f>IF(AND(V28&gt;6,X28&gt;6,Y28&gt;6),1,0)</f>
        <v>0</v>
      </c>
      <c r="BI28" s="316">
        <f>IF(AND(X28&gt;7,OR(V28&gt;6,Y28&gt;6)),1,0)</f>
        <v>0</v>
      </c>
      <c r="BJ28" s="316">
        <f>IF(AND(X28&gt;6,OR(V28&gt;6,Y28&gt;6)),1,0)</f>
        <v>0</v>
      </c>
      <c r="BK28" s="316">
        <f>IF(AND(OR(V28&gt;6,X28&gt;6),OR(V28&gt;6,Y28&gt;6)),1,0)</f>
        <v>1</v>
      </c>
      <c r="BL28" s="316">
        <f>IF(AND(V28&gt;4,OR(V28&gt;6,X28&gt;6,Y28&gt;6)),1,0)</f>
        <v>1</v>
      </c>
      <c r="BM28" s="316">
        <f>IF(AND(V28&gt;4,OR(V28&gt;6,W28&gt;6,X28&gt;6,Y28&gt;6)),1,0)</f>
        <v>1</v>
      </c>
      <c r="BN28" s="311">
        <f>IF(AND(V28&gt;4,MAX(V28:Z28)&gt;6),1,0)</f>
        <v>1</v>
      </c>
      <c r="BO28" s="311">
        <f>IF(AVERAGE(AL28:AM28)&gt;9,1,0)+IF(AVERAGE(AL28:AM28)&gt;7,1,0)+IF(AL28&gt;7,1,0)+IF(AM28&gt;7,1,0)+IF(AN28&gt;8,1,0)+IF(AN28&gt;6,1,0)</f>
        <v>0</v>
      </c>
      <c r="BP28" s="317">
        <f>IF(OR(MAX(AD28,AE28,AI28,AK28)&gt;6,MAX(AF28,AG28,AH28,AJ28)&gt;7),2,IF(MAX(AD28:AK28)&gt;4,1,0))</f>
        <v>2</v>
      </c>
      <c r="BQ28" s="310" t="str">
        <f>IF(AP28=1,"Yes","")</f>
        <v/>
      </c>
      <c r="BR28" s="309" t="str">
        <f>IF($A28="ML","There",IF(AND($V28&gt;=6,AVERAGE($X28:$Y28)&gt;=6),"Likely",IF(OR($V28&gt;6,AND($V28=6,AVERAGE($X28:$Y28)&gt;=3),AND($V28&gt;=5,AVERAGE($X28:$Y28)&gt;=5),AVERAGE($V28,$X28:$Y28)&gt;5),"Possible","Unlikely")))</f>
        <v>Possible</v>
      </c>
      <c r="BS28" s="310" t="str">
        <f>IF(OR(AND(Q28&gt;=6,S28+T28&gt;=12),Q28&gt;7),"Start",IF(AND(Q28&gt;=5,S28+T28&gt;=8),"Bench","aack!"))</f>
        <v>Bench</v>
      </c>
      <c r="BT28" s="310" t="str">
        <f>IF(OR(AND(V28&gt;=6,X28+Y28&gt;=12),V28&gt;7),"Start",IF(AND(V28&gt;=5,X28+Y28&gt;=8),"Bench","aack!"))</f>
        <v>Bench</v>
      </c>
      <c r="BU28" s="310" t="str">
        <f>IF(Q28&gt;5,"ML",IF(Q28=5,"AAA",IF(Q28=4,"AA",IF(Q28=3,"A","SS-A"))))</f>
        <v>ML</v>
      </c>
      <c r="BV28" s="310">
        <f>Q28-V28</f>
        <v>0</v>
      </c>
      <c r="BW28" s="310">
        <f>R28-W28</f>
        <v>0</v>
      </c>
      <c r="BX28" s="310">
        <f>S28-X28</f>
        <v>0</v>
      </c>
      <c r="BY28" s="310">
        <f>T28-Y28</f>
        <v>-1</v>
      </c>
      <c r="BZ28" s="310">
        <f>U28-Z28</f>
        <v>0</v>
      </c>
      <c r="CA28" s="310">
        <f>SUM(BV28:BZ28)</f>
        <v>-1</v>
      </c>
      <c r="CB28" s="310">
        <f>V28+X28+Y28</f>
        <v>18</v>
      </c>
      <c r="CC28" s="310">
        <f>V28+X28</f>
        <v>11</v>
      </c>
      <c r="CD28" s="310">
        <f>V28+Y28</f>
        <v>14</v>
      </c>
      <c r="CE28" s="310" t="str">
        <f>IF(J28&gt;24,"Now - Age",IF(Q28&gt;6,"Now",IF(V28&lt;6,"With Dev",MIN(V28-Q28,7-Q28))))</f>
        <v>Now - Age</v>
      </c>
      <c r="CF28" s="325" t="str">
        <f t="shared" si="3"/>
        <v/>
      </c>
      <c r="CG28" s="325" t="str">
        <f t="shared" si="5"/>
        <v/>
      </c>
      <c r="CH28" s="325" t="str">
        <f t="shared" si="6"/>
        <v>X</v>
      </c>
      <c r="CI28" s="325" t="str">
        <f t="shared" si="7"/>
        <v/>
      </c>
      <c r="CJ28" s="325" t="str">
        <f t="shared" si="8"/>
        <v/>
      </c>
      <c r="CK28" s="325" t="str">
        <f t="shared" si="9"/>
        <v/>
      </c>
      <c r="CL28" s="325" t="str">
        <f t="shared" si="10"/>
        <v/>
      </c>
      <c r="CM28" s="325" t="str">
        <f t="shared" si="11"/>
        <v/>
      </c>
      <c r="CN28" s="325" t="str">
        <f t="shared" si="4"/>
        <v/>
      </c>
    </row>
    <row r="29" spans="1:92">
      <c r="A29" s="308" t="s">
        <v>213</v>
      </c>
      <c r="B29" s="309" t="s">
        <v>95</v>
      </c>
      <c r="C29" s="310">
        <f>IF(BH29=1,3,IF(BI29=1,4,IF(BF29=1,1,IF(BJ29=1,5,IF(BG29=1,2,IF(BK29=1,6,IF(BL29=1,7,IF(BM29=1,8,IF(BN29=1,9,"-")))))))))</f>
        <v>2</v>
      </c>
      <c r="D29" s="310">
        <f>IF(AY29=1,3,IF(AZ29=1,4,IF(AW29=1,1,IF(BA29=1,5,IF(AX29=1,2,IF(BB29=1,6,IF(BC29=1,7,IF(BD29=1,8,IF(BE29=1,9,"-")))))))))</f>
        <v>2</v>
      </c>
      <c r="E29" s="310" t="str">
        <f>IF(OR(OR(O29="Very High",O29="High"),AND(OR(O29="Very High",O29="High",O29="Normal"),OR(P29="Very High",P29="High"))),"K","T")</f>
        <v>K</v>
      </c>
      <c r="F29" s="310" t="s">
        <v>95</v>
      </c>
      <c r="G29" s="310" t="s">
        <v>570</v>
      </c>
      <c r="H29" s="310" t="s">
        <v>384</v>
      </c>
      <c r="I29" s="310" t="s">
        <v>213</v>
      </c>
      <c r="J29" s="310">
        <v>33</v>
      </c>
      <c r="K29" s="310" t="s">
        <v>107</v>
      </c>
      <c r="L29" s="310" t="s">
        <v>107</v>
      </c>
      <c r="M29" s="310" t="s">
        <v>47</v>
      </c>
      <c r="N29" s="311" t="s">
        <v>47</v>
      </c>
      <c r="O29" s="310" t="s">
        <v>228</v>
      </c>
      <c r="P29" s="311" t="s">
        <v>232</v>
      </c>
      <c r="Q29" s="310">
        <v>5</v>
      </c>
      <c r="R29" s="310">
        <v>6</v>
      </c>
      <c r="S29" s="310">
        <v>6</v>
      </c>
      <c r="T29" s="310">
        <v>8</v>
      </c>
      <c r="U29" s="311">
        <v>3</v>
      </c>
      <c r="V29" s="310">
        <v>5</v>
      </c>
      <c r="W29" s="310">
        <v>7</v>
      </c>
      <c r="X29" s="310">
        <v>6</v>
      </c>
      <c r="Y29" s="310">
        <v>8</v>
      </c>
      <c r="Z29" s="311">
        <v>3</v>
      </c>
      <c r="AA29" s="310">
        <v>3</v>
      </c>
      <c r="AB29" s="310">
        <v>3</v>
      </c>
      <c r="AC29" s="310">
        <v>7</v>
      </c>
      <c r="AD29" s="310">
        <v>7</v>
      </c>
      <c r="AE29" s="310">
        <v>2</v>
      </c>
      <c r="AF29" s="310" t="s">
        <v>41</v>
      </c>
      <c r="AG29" s="310" t="s">
        <v>41</v>
      </c>
      <c r="AH29" s="310" t="s">
        <v>41</v>
      </c>
      <c r="AI29" s="310">
        <v>1</v>
      </c>
      <c r="AJ29" s="310" t="s">
        <v>41</v>
      </c>
      <c r="AK29" s="311">
        <v>2</v>
      </c>
      <c r="AL29" s="310">
        <v>1</v>
      </c>
      <c r="AM29" s="310">
        <v>1</v>
      </c>
      <c r="AN29" s="311">
        <v>1</v>
      </c>
      <c r="AO29" s="312" t="s">
        <v>41</v>
      </c>
      <c r="AP29" s="311">
        <v>1</v>
      </c>
      <c r="AQ29" s="313">
        <f>AVERAGE(Q29,S29,T29)+IF(OR(Q29&gt;7,AND(Q29&gt;5,T29&gt;5)),0.5,0)+IF(S29&gt;7,0.25,0)+IF(Q29&lt;6,-0.5*(6-Q29),0)</f>
        <v>5.833333333333333</v>
      </c>
      <c r="AR29" s="314" t="str">
        <f>IF(AQ29&gt;9,"SuperStar",IF(AQ29&gt;8,"Star",IF(AQ29&gt;6.5,"GoodReg",IF(AQ29&gt;5,"Reg",IF(AQ29&gt;4,"Bench","Minors")))))</f>
        <v>Reg</v>
      </c>
      <c r="AS29" s="313">
        <f>AVERAGE(V29,X29,Y29)+IF(OR(V29&gt;7,AND(V29&gt;5,Y29&gt;5)),0.5,0)+IF(X29&gt;7,0.25,0)+IF(V29&lt;6,-0.5*(6-V29),0)</f>
        <v>5.833333333333333</v>
      </c>
      <c r="AT29" s="313" t="str">
        <f>IF(AS29&gt;9,"SuperStar",IF(AS29&gt;8,"Star",IF(AS29&gt;6.5,"GoodReg",IF(AS29&gt;5,"Reg",IF(AS29&gt;4,"Bench","Minors")))))</f>
        <v>Reg</v>
      </c>
      <c r="AU29" s="314">
        <f>MIN(AQ29+(MAX(0,25-J29))^1.5,AS29)</f>
        <v>5.833333333333333</v>
      </c>
      <c r="AV29" s="314" t="str">
        <f>IF(AU29&gt;9,"SuperStar",IF(AU29&gt;8,"Star",IF(AU29&gt;6.5,"GoodReg",IF(AU29&gt;5,"Reg",IF(AU29&gt;4,"Bench","Minors")))))</f>
        <v>Reg</v>
      </c>
      <c r="AW29" s="315">
        <f>IF(AND(OR(Q29+T29&gt;12,AND(Q29&gt;6,T29&gt;6)),AL29&gt;6,OR(AM29&gt;=AL29,AM29&gt;6)),1,0)</f>
        <v>0</v>
      </c>
      <c r="AX29" s="316">
        <f>IF(OR(AND(Q29&gt;6,U29&gt;6),Q29+T29&gt;12),1,0)</f>
        <v>1</v>
      </c>
      <c r="AY29" s="316">
        <f>IF(AND(Q29&gt;6,S29&gt;6,T29&gt;6),1,0)</f>
        <v>0</v>
      </c>
      <c r="AZ29" s="316">
        <f>IF(AND(S29&gt;7,OR(Q29&gt;6,T29&gt;6)),1,0)</f>
        <v>0</v>
      </c>
      <c r="BA29" s="316">
        <f>IF(AND(S29&gt;6,OR(Q29&gt;6,T29&gt;6)),1,0)</f>
        <v>0</v>
      </c>
      <c r="BB29" s="316">
        <f>IF(AND(OR(Q29&gt;6,S29&gt;6),OR(Q29&gt;6,T29&gt;6)),1,0)</f>
        <v>0</v>
      </c>
      <c r="BC29" s="316">
        <f>IF(AND(Q29&gt;4,OR(Q29&gt;6,S29&gt;6,T29&gt;6)),1,0)</f>
        <v>1</v>
      </c>
      <c r="BD29" s="316">
        <f>IF(AND(Q29&gt;4,OR(Q29&gt;6,R29&gt;6,S29&gt;6,T29&gt;6)),1,0)</f>
        <v>1</v>
      </c>
      <c r="BE29" s="311">
        <f>IF(AND(Q29&gt;4,MAX(Q29:U29)&gt;6),1,0)</f>
        <v>1</v>
      </c>
      <c r="BF29" s="315">
        <f>IF(AND(OR(V29+Y29&gt;12,AND(V29&gt;6,Y29&gt;6)),AL29&gt;6,OR(AM29&gt;=AL29,AM29&gt;6)),1,0)</f>
        <v>0</v>
      </c>
      <c r="BG29" s="316">
        <f>IF(OR(AND(V29&gt;6,Z29&gt;6),V29+Y29&gt;12),1,0)</f>
        <v>1</v>
      </c>
      <c r="BH29" s="316">
        <f>IF(AND(V29&gt;6,X29&gt;6,Y29&gt;6),1,0)</f>
        <v>0</v>
      </c>
      <c r="BI29" s="316">
        <f>IF(AND(X29&gt;7,OR(V29&gt;6,Y29&gt;6)),1,0)</f>
        <v>0</v>
      </c>
      <c r="BJ29" s="316">
        <f>IF(AND(X29&gt;6,OR(V29&gt;6,Y29&gt;6)),1,0)</f>
        <v>0</v>
      </c>
      <c r="BK29" s="316">
        <f>IF(AND(OR(V29&gt;6,X29&gt;6),OR(V29&gt;6,Y29&gt;6)),1,0)</f>
        <v>0</v>
      </c>
      <c r="BL29" s="316">
        <f>IF(AND(V29&gt;4,OR(V29&gt;6,X29&gt;6,Y29&gt;6)),1,0)</f>
        <v>1</v>
      </c>
      <c r="BM29" s="316">
        <f>IF(AND(V29&gt;4,OR(V29&gt;6,W29&gt;6,X29&gt;6,Y29&gt;6)),1,0)</f>
        <v>1</v>
      </c>
      <c r="BN29" s="311">
        <f>IF(AND(V29&gt;4,MAX(V29:Z29)&gt;6),1,0)</f>
        <v>1</v>
      </c>
      <c r="BO29" s="311">
        <f>IF(AVERAGE(AL29:AM29)&gt;9,1,0)+IF(AVERAGE(AL29:AM29)&gt;7,1,0)+IF(AL29&gt;7,1,0)+IF(AM29&gt;7,1,0)+IF(AN29&gt;8,1,0)+IF(AN29&gt;6,1,0)</f>
        <v>0</v>
      </c>
      <c r="BP29" s="317">
        <f>IF(OR(MAX(AD29,AE29,AI29,AK29)&gt;6,MAX(AF29,AG29,AH29,AJ29)&gt;7),2,IF(MAX(AD29:AK29)&gt;4,1,0))</f>
        <v>2</v>
      </c>
      <c r="BQ29" s="310" t="str">
        <f>IF(AP29=1,"Yes","")</f>
        <v>Yes</v>
      </c>
      <c r="BR29" s="309" t="str">
        <f>IF($A29="ML","There",IF(AND($V29&gt;=6,AVERAGE($X29:$Y29)&gt;=6),"Likely",IF(OR($V29&gt;6,AND($V29=6,AVERAGE($X29:$Y29)&gt;=3),AND($V29&gt;=5,AVERAGE($X29:$Y29)&gt;=5),AVERAGE($V29,$X29:$Y29)&gt;5),"Possible","Unlikely")))</f>
        <v>Possible</v>
      </c>
      <c r="BS29" s="310" t="str">
        <f>IF(OR(AND(Q29&gt;=6,S29+T29&gt;=12),Q29&gt;7),"Start",IF(AND(Q29&gt;=5,S29+T29&gt;=8),"Bench","aack!"))</f>
        <v>Bench</v>
      </c>
      <c r="BT29" s="310" t="str">
        <f>IF(OR(AND(V29&gt;=6,X29+Y29&gt;=12),V29&gt;7),"Start",IF(AND(V29&gt;=5,X29+Y29&gt;=8),"Bench","aack!"))</f>
        <v>Bench</v>
      </c>
      <c r="BU29" s="310" t="str">
        <f>IF(Q29&gt;5,"ML",IF(Q29=5,"AAA",IF(Q29=4,"AA",IF(Q29=3,"A","SS-A"))))</f>
        <v>AAA</v>
      </c>
      <c r="BV29" s="310">
        <f>Q29-V29</f>
        <v>0</v>
      </c>
      <c r="BW29" s="310">
        <f>R29-W29</f>
        <v>-1</v>
      </c>
      <c r="BX29" s="310">
        <f>S29-X29</f>
        <v>0</v>
      </c>
      <c r="BY29" s="310">
        <f>T29-Y29</f>
        <v>0</v>
      </c>
      <c r="BZ29" s="310">
        <f>U29-Z29</f>
        <v>0</v>
      </c>
      <c r="CA29" s="310">
        <f>SUM(BV29:BZ29)</f>
        <v>-1</v>
      </c>
      <c r="CB29" s="310">
        <f>V29+X29+Y29</f>
        <v>19</v>
      </c>
      <c r="CC29" s="310">
        <f>V29+X29</f>
        <v>11</v>
      </c>
      <c r="CD29" s="310">
        <f>V29+Y29</f>
        <v>13</v>
      </c>
      <c r="CE29" s="310" t="str">
        <f>IF(J29&gt;24,"Now - Age",IF(Q29&gt;6,"Now",IF(V29&lt;6,"With Dev",MIN(V29-Q29,7-Q29))))</f>
        <v>Now - Age</v>
      </c>
      <c r="CF29" s="325" t="str">
        <f t="shared" si="3"/>
        <v>X</v>
      </c>
      <c r="CG29" s="325" t="str">
        <f t="shared" si="5"/>
        <v/>
      </c>
      <c r="CH29" s="325" t="str">
        <f t="shared" si="6"/>
        <v/>
      </c>
      <c r="CI29" s="325" t="str">
        <f t="shared" si="7"/>
        <v/>
      </c>
      <c r="CJ29" s="325" t="str">
        <f t="shared" si="8"/>
        <v/>
      </c>
      <c r="CK29" s="325" t="str">
        <f t="shared" si="9"/>
        <v/>
      </c>
      <c r="CL29" s="325" t="str">
        <f t="shared" si="10"/>
        <v/>
      </c>
      <c r="CM29" s="325" t="str">
        <f t="shared" si="11"/>
        <v/>
      </c>
      <c r="CN29" s="325" t="str">
        <f t="shared" si="4"/>
        <v/>
      </c>
    </row>
    <row r="30" spans="1:92">
      <c r="A30" s="308" t="s">
        <v>213</v>
      </c>
      <c r="B30" s="309" t="s">
        <v>100</v>
      </c>
      <c r="C30" s="310">
        <f>IF(BH30=1,3,IF(BI30=1,4,IF(BF30=1,1,IF(BJ30=1,5,IF(BG30=1,2,IF(BK30=1,6,IF(BL30=1,7,IF(BM30=1,8,IF(BN30=1,9,"-")))))))))</f>
        <v>2</v>
      </c>
      <c r="D30" s="310">
        <f>IF(AY30=1,3,IF(AZ30=1,4,IF(AW30=1,1,IF(BA30=1,5,IF(AX30=1,2,IF(BB30=1,6,IF(BC30=1,7,IF(BD30=1,8,IF(BE30=1,9,"-")))))))))</f>
        <v>2</v>
      </c>
      <c r="E30" s="310" t="str">
        <f>IF(OR(OR(O30="Very High",O30="High"),AND(OR(O30="Very High",O30="High",O30="Normal"),OR(P30="Very High",P30="High"))),"K","T")</f>
        <v>T</v>
      </c>
      <c r="F30" s="310" t="s">
        <v>100</v>
      </c>
      <c r="G30" s="310" t="s">
        <v>569</v>
      </c>
      <c r="H30" s="310" t="s">
        <v>384</v>
      </c>
      <c r="I30" s="310" t="s">
        <v>213</v>
      </c>
      <c r="J30" s="310">
        <v>30</v>
      </c>
      <c r="K30" s="310" t="s">
        <v>107</v>
      </c>
      <c r="L30" s="310" t="s">
        <v>107</v>
      </c>
      <c r="M30" s="310" t="s">
        <v>47</v>
      </c>
      <c r="N30" s="311" t="s">
        <v>47</v>
      </c>
      <c r="O30" s="310" t="s">
        <v>232</v>
      </c>
      <c r="P30" s="311" t="s">
        <v>231</v>
      </c>
      <c r="Q30" s="310">
        <v>7</v>
      </c>
      <c r="R30" s="310">
        <v>6</v>
      </c>
      <c r="S30" s="310">
        <v>3</v>
      </c>
      <c r="T30" s="310">
        <v>6</v>
      </c>
      <c r="U30" s="311">
        <v>6</v>
      </c>
      <c r="V30" s="310">
        <v>7</v>
      </c>
      <c r="W30" s="310">
        <v>6</v>
      </c>
      <c r="X30" s="310">
        <v>3</v>
      </c>
      <c r="Y30" s="310">
        <v>6</v>
      </c>
      <c r="Z30" s="311">
        <v>6</v>
      </c>
      <c r="AA30" s="310">
        <v>8</v>
      </c>
      <c r="AB30" s="310">
        <v>5</v>
      </c>
      <c r="AC30" s="310">
        <v>1</v>
      </c>
      <c r="AD30" s="310" t="s">
        <v>41</v>
      </c>
      <c r="AE30" s="310">
        <v>2</v>
      </c>
      <c r="AF30" s="310">
        <v>6</v>
      </c>
      <c r="AG30" s="310">
        <v>8</v>
      </c>
      <c r="AH30" s="310">
        <v>7</v>
      </c>
      <c r="AI30" s="310">
        <v>1</v>
      </c>
      <c r="AJ30" s="310" t="s">
        <v>41</v>
      </c>
      <c r="AK30" s="311" t="s">
        <v>41</v>
      </c>
      <c r="AL30" s="310">
        <v>5</v>
      </c>
      <c r="AM30" s="310">
        <v>4</v>
      </c>
      <c r="AN30" s="311">
        <v>2</v>
      </c>
      <c r="AO30" s="312" t="s">
        <v>41</v>
      </c>
      <c r="AP30" s="311" t="s">
        <v>46</v>
      </c>
      <c r="AQ30" s="313">
        <f>AVERAGE(Q30,S30,T30)+IF(OR(Q30&gt;7,AND(Q30&gt;5,T30&gt;5)),0.5,0)+IF(S30&gt;7,0.25,0)+IF(Q30&lt;6,-0.5*(6-Q30),0)</f>
        <v>5.833333333333333</v>
      </c>
      <c r="AR30" s="314" t="str">
        <f>IF(AQ30&gt;9,"SuperStar",IF(AQ30&gt;8,"Star",IF(AQ30&gt;6.5,"GoodReg",IF(AQ30&gt;5,"Reg",IF(AQ30&gt;4,"Bench","Minors")))))</f>
        <v>Reg</v>
      </c>
      <c r="AS30" s="313">
        <f>AVERAGE(V30,X30,Y30)+IF(OR(V30&gt;7,AND(V30&gt;5,Y30&gt;5)),0.5,0)+IF(X30&gt;7,0.25,0)+IF(V30&lt;6,-0.5*(6-V30),0)</f>
        <v>5.833333333333333</v>
      </c>
      <c r="AT30" s="313" t="str">
        <f>IF(AS30&gt;9,"SuperStar",IF(AS30&gt;8,"Star",IF(AS30&gt;6.5,"GoodReg",IF(AS30&gt;5,"Reg",IF(AS30&gt;4,"Bench","Minors")))))</f>
        <v>Reg</v>
      </c>
      <c r="AU30" s="314">
        <f>MIN(AQ30+(MAX(0,25-J30))^1.5,AS30)</f>
        <v>5.833333333333333</v>
      </c>
      <c r="AV30" s="314" t="str">
        <f>IF(AU30&gt;9,"SuperStar",IF(AU30&gt;8,"Star",IF(AU30&gt;6.5,"GoodReg",IF(AU30&gt;5,"Reg",IF(AU30&gt;4,"Bench","Minors")))))</f>
        <v>Reg</v>
      </c>
      <c r="AW30" s="315">
        <f>IF(AND(OR(Q30+T30&gt;12,AND(Q30&gt;6,T30&gt;6)),AL30&gt;6,OR(AM30&gt;=AL30,AM30&gt;6)),1,0)</f>
        <v>0</v>
      </c>
      <c r="AX30" s="316">
        <f>IF(OR(AND(Q30&gt;6,U30&gt;6),Q30+T30&gt;12),1,0)</f>
        <v>1</v>
      </c>
      <c r="AY30" s="316">
        <f>IF(AND(Q30&gt;6,S30&gt;6,T30&gt;6),1,0)</f>
        <v>0</v>
      </c>
      <c r="AZ30" s="316">
        <f>IF(AND(S30&gt;7,OR(Q30&gt;6,T30&gt;6)),1,0)</f>
        <v>0</v>
      </c>
      <c r="BA30" s="316">
        <f>IF(AND(S30&gt;6,OR(Q30&gt;6,T30&gt;6)),1,0)</f>
        <v>0</v>
      </c>
      <c r="BB30" s="316">
        <f>IF(AND(OR(Q30&gt;6,S30&gt;6),OR(Q30&gt;6,T30&gt;6)),1,0)</f>
        <v>1</v>
      </c>
      <c r="BC30" s="316">
        <f>IF(AND(Q30&gt;4,OR(Q30&gt;6,S30&gt;6,T30&gt;6)),1,0)</f>
        <v>1</v>
      </c>
      <c r="BD30" s="316">
        <f>IF(AND(Q30&gt;4,OR(Q30&gt;6,R30&gt;6,S30&gt;6,T30&gt;6)),1,0)</f>
        <v>1</v>
      </c>
      <c r="BE30" s="311">
        <f>IF(AND(Q30&gt;4,MAX(Q30:U30)&gt;6),1,0)</f>
        <v>1</v>
      </c>
      <c r="BF30" s="315">
        <f>IF(AND(OR(V30+Y30&gt;12,AND(V30&gt;6,Y30&gt;6)),AL30&gt;6,OR(AM30&gt;=AL30,AM30&gt;6)),1,0)</f>
        <v>0</v>
      </c>
      <c r="BG30" s="316">
        <f>IF(OR(AND(V30&gt;6,Z30&gt;6),V30+Y30&gt;12),1,0)</f>
        <v>1</v>
      </c>
      <c r="BH30" s="316">
        <f>IF(AND(V30&gt;6,X30&gt;6,Y30&gt;6),1,0)</f>
        <v>0</v>
      </c>
      <c r="BI30" s="316">
        <f>IF(AND(X30&gt;7,OR(V30&gt;6,Y30&gt;6)),1,0)</f>
        <v>0</v>
      </c>
      <c r="BJ30" s="316">
        <f>IF(AND(X30&gt;6,OR(V30&gt;6,Y30&gt;6)),1,0)</f>
        <v>0</v>
      </c>
      <c r="BK30" s="316">
        <f>IF(AND(OR(V30&gt;6,X30&gt;6),OR(V30&gt;6,Y30&gt;6)),1,0)</f>
        <v>1</v>
      </c>
      <c r="BL30" s="316">
        <f>IF(AND(V30&gt;4,OR(V30&gt;6,X30&gt;6,Y30&gt;6)),1,0)</f>
        <v>1</v>
      </c>
      <c r="BM30" s="316">
        <f>IF(AND(V30&gt;4,OR(V30&gt;6,W30&gt;6,X30&gt;6,Y30&gt;6)),1,0)</f>
        <v>1</v>
      </c>
      <c r="BN30" s="311">
        <f>IF(AND(V30&gt;4,MAX(V30:Z30)&gt;6),1,0)</f>
        <v>1</v>
      </c>
      <c r="BO30" s="311">
        <f>IF(AVERAGE(AL30:AM30)&gt;9,1,0)+IF(AVERAGE(AL30:AM30)&gt;7,1,0)+IF(AL30&gt;7,1,0)+IF(AM30&gt;7,1,0)+IF(AN30&gt;8,1,0)+IF(AN30&gt;6,1,0)</f>
        <v>0</v>
      </c>
      <c r="BP30" s="317">
        <f>IF(OR(MAX(AD30,AE30,AI30,AK30)&gt;6,MAX(AF30,AG30,AH30,AJ30)&gt;7),2,IF(MAX(AD30:AK30)&gt;4,1,0))</f>
        <v>2</v>
      </c>
      <c r="BQ30" s="310" t="str">
        <f>IF(AP30=1,"Yes","")</f>
        <v/>
      </c>
      <c r="BR30" s="309" t="str">
        <f>IF($A30="ML","There",IF(AND($V30&gt;=6,AVERAGE($X30:$Y30)&gt;=6),"Likely",IF(OR($V30&gt;6,AND($V30=6,AVERAGE($X30:$Y30)&gt;=3),AND($V30&gt;=5,AVERAGE($X30:$Y30)&gt;=5),AVERAGE($V30,$X30:$Y30)&gt;5),"Possible","Unlikely")))</f>
        <v>Possible</v>
      </c>
      <c r="BS30" s="310" t="str">
        <f>IF(OR(AND(Q30&gt;=6,S30+T30&gt;=12),Q30&gt;7),"Start",IF(AND(Q30&gt;=5,S30+T30&gt;=8),"Bench","aack!"))</f>
        <v>Bench</v>
      </c>
      <c r="BT30" s="310" t="str">
        <f>IF(OR(AND(V30&gt;=6,X30+Y30&gt;=12),V30&gt;7),"Start",IF(AND(V30&gt;=5,X30+Y30&gt;=8),"Bench","aack!"))</f>
        <v>Bench</v>
      </c>
      <c r="BU30" s="310" t="str">
        <f>IF(Q30&gt;5,"ML",IF(Q30=5,"AAA",IF(Q30=4,"AA",IF(Q30=3,"A","SS-A"))))</f>
        <v>ML</v>
      </c>
      <c r="BV30" s="310">
        <f>Q30-V30</f>
        <v>0</v>
      </c>
      <c r="BW30" s="310">
        <f>R30-W30</f>
        <v>0</v>
      </c>
      <c r="BX30" s="310">
        <f>S30-X30</f>
        <v>0</v>
      </c>
      <c r="BY30" s="310">
        <f>T30-Y30</f>
        <v>0</v>
      </c>
      <c r="BZ30" s="310">
        <f>U30-Z30</f>
        <v>0</v>
      </c>
      <c r="CA30" s="310">
        <f>SUM(BV30:BZ30)</f>
        <v>0</v>
      </c>
      <c r="CB30" s="310">
        <f>V30+X30+Y30</f>
        <v>16</v>
      </c>
      <c r="CC30" s="310">
        <f>V30+X30</f>
        <v>10</v>
      </c>
      <c r="CD30" s="310">
        <f>V30+Y30</f>
        <v>13</v>
      </c>
      <c r="CE30" s="310" t="str">
        <f>IF(J30&gt;24,"Now - Age",IF(Q30&gt;6,"Now",IF(V30&lt;6,"With Dev",MIN(V30-Q30,7-Q30))))</f>
        <v>Now - Age</v>
      </c>
      <c r="CF30" s="325" t="str">
        <f t="shared" si="3"/>
        <v/>
      </c>
      <c r="CG30" s="325" t="str">
        <f t="shared" si="5"/>
        <v/>
      </c>
      <c r="CH30" s="325" t="str">
        <f t="shared" si="6"/>
        <v>X</v>
      </c>
      <c r="CI30" s="325" t="str">
        <f t="shared" si="7"/>
        <v>X</v>
      </c>
      <c r="CJ30" s="325" t="str">
        <f t="shared" si="8"/>
        <v>X</v>
      </c>
      <c r="CK30" s="325" t="str">
        <f t="shared" si="9"/>
        <v/>
      </c>
      <c r="CL30" s="325" t="str">
        <f t="shared" si="10"/>
        <v/>
      </c>
      <c r="CM30" s="325" t="str">
        <f t="shared" si="11"/>
        <v/>
      </c>
      <c r="CN30" s="325" t="str">
        <f t="shared" si="4"/>
        <v/>
      </c>
    </row>
    <row r="31" spans="1:92">
      <c r="A31" s="308" t="s">
        <v>213</v>
      </c>
      <c r="B31" s="309" t="s">
        <v>99</v>
      </c>
      <c r="C31" s="310">
        <f>IF(BH31=1,3,IF(BI31=1,4,IF(BF31=1,1,IF(BJ31=1,5,IF(BG31=1,2,IF(BK31=1,6,IF(BL31=1,7,IF(BM31=1,8,IF(BN31=1,9,"-")))))))))</f>
        <v>2</v>
      </c>
      <c r="D31" s="310">
        <f>IF(AY31=1,3,IF(AZ31=1,4,IF(AW31=1,1,IF(BA31=1,5,IF(AX31=1,2,IF(BB31=1,6,IF(BC31=1,7,IF(BD31=1,8,IF(BE31=1,9,"-")))))))))</f>
        <v>2</v>
      </c>
      <c r="E31" s="310" t="str">
        <f>IF(OR(OR(O31="Very High",O31="High"),AND(OR(O31="Very High",O31="High",O31="Normal"),OR(P31="Very High",P31="High"))),"K","T")</f>
        <v>K</v>
      </c>
      <c r="F31" s="310" t="s">
        <v>99</v>
      </c>
      <c r="G31" s="310" t="s">
        <v>572</v>
      </c>
      <c r="H31" s="310" t="s">
        <v>384</v>
      </c>
      <c r="I31" s="310" t="s">
        <v>213</v>
      </c>
      <c r="J31" s="310">
        <v>32</v>
      </c>
      <c r="K31" s="310" t="s">
        <v>107</v>
      </c>
      <c r="L31" s="310" t="s">
        <v>107</v>
      </c>
      <c r="M31" s="310" t="s">
        <v>47</v>
      </c>
      <c r="N31" s="311" t="s">
        <v>47</v>
      </c>
      <c r="O31" s="310" t="s">
        <v>229</v>
      </c>
      <c r="P31" s="311" t="s">
        <v>230</v>
      </c>
      <c r="Q31" s="310">
        <v>8</v>
      </c>
      <c r="R31" s="310">
        <v>6</v>
      </c>
      <c r="S31" s="310">
        <v>2</v>
      </c>
      <c r="T31" s="310">
        <v>5</v>
      </c>
      <c r="U31" s="311">
        <v>7</v>
      </c>
      <c r="V31" s="310">
        <v>8</v>
      </c>
      <c r="W31" s="310">
        <v>6</v>
      </c>
      <c r="X31" s="310">
        <v>2</v>
      </c>
      <c r="Y31" s="310">
        <v>6</v>
      </c>
      <c r="Z31" s="311">
        <v>7</v>
      </c>
      <c r="AA31" s="310">
        <v>7</v>
      </c>
      <c r="AB31" s="310">
        <v>1</v>
      </c>
      <c r="AC31" s="310">
        <v>1</v>
      </c>
      <c r="AD31" s="310" t="s">
        <v>41</v>
      </c>
      <c r="AE31" s="310" t="s">
        <v>41</v>
      </c>
      <c r="AF31" s="310">
        <v>1</v>
      </c>
      <c r="AG31" s="310">
        <v>6</v>
      </c>
      <c r="AH31" s="310">
        <v>4</v>
      </c>
      <c r="AI31" s="310" t="s">
        <v>41</v>
      </c>
      <c r="AJ31" s="310" t="s">
        <v>41</v>
      </c>
      <c r="AK31" s="311" t="s">
        <v>41</v>
      </c>
      <c r="AL31" s="310">
        <v>3</v>
      </c>
      <c r="AM31" s="310">
        <v>1</v>
      </c>
      <c r="AN31" s="311">
        <v>1</v>
      </c>
      <c r="AO31" s="312" t="s">
        <v>41</v>
      </c>
      <c r="AP31" s="311">
        <v>1</v>
      </c>
      <c r="AQ31" s="313">
        <f>AVERAGE(Q31,S31,T31)+IF(OR(Q31&gt;7,AND(Q31&gt;5,T31&gt;5)),0.5,0)+IF(S31&gt;7,0.25,0)+IF(Q31&lt;6,-0.5*(6-Q31),0)</f>
        <v>5.5</v>
      </c>
      <c r="AR31" s="314" t="str">
        <f>IF(AQ31&gt;9,"SuperStar",IF(AQ31&gt;8,"Star",IF(AQ31&gt;6.5,"GoodReg",IF(AQ31&gt;5,"Reg",IF(AQ31&gt;4,"Bench","Minors")))))</f>
        <v>Reg</v>
      </c>
      <c r="AS31" s="313">
        <f>AVERAGE(V31,X31,Y31)+IF(OR(V31&gt;7,AND(V31&gt;5,Y31&gt;5)),0.5,0)+IF(X31&gt;7,0.25,0)+IF(V31&lt;6,-0.5*(6-V31),0)</f>
        <v>5.833333333333333</v>
      </c>
      <c r="AT31" s="313" t="str">
        <f>IF(AS31&gt;9,"SuperStar",IF(AS31&gt;8,"Star",IF(AS31&gt;6.5,"GoodReg",IF(AS31&gt;5,"Reg",IF(AS31&gt;4,"Bench","Minors")))))</f>
        <v>Reg</v>
      </c>
      <c r="AU31" s="314">
        <f>MIN(AQ31+(MAX(0,25-J31))^1.5,AS31)</f>
        <v>5.5</v>
      </c>
      <c r="AV31" s="314" t="str">
        <f>IF(AU31&gt;9,"SuperStar",IF(AU31&gt;8,"Star",IF(AU31&gt;6.5,"GoodReg",IF(AU31&gt;5,"Reg",IF(AU31&gt;4,"Bench","Minors")))))</f>
        <v>Reg</v>
      </c>
      <c r="AW31" s="315">
        <f>IF(AND(OR(Q31+T31&gt;12,AND(Q31&gt;6,T31&gt;6)),AL31&gt;6,OR(AM31&gt;=AL31,AM31&gt;6)),1,0)</f>
        <v>0</v>
      </c>
      <c r="AX31" s="316">
        <f>IF(OR(AND(Q31&gt;6,U31&gt;6),Q31+T31&gt;12),1,0)</f>
        <v>1</v>
      </c>
      <c r="AY31" s="316">
        <f>IF(AND(Q31&gt;6,S31&gt;6,T31&gt;6),1,0)</f>
        <v>0</v>
      </c>
      <c r="AZ31" s="316">
        <f>IF(AND(S31&gt;7,OR(Q31&gt;6,T31&gt;6)),1,0)</f>
        <v>0</v>
      </c>
      <c r="BA31" s="316">
        <f>IF(AND(S31&gt;6,OR(Q31&gt;6,T31&gt;6)),1,0)</f>
        <v>0</v>
      </c>
      <c r="BB31" s="316">
        <f>IF(AND(OR(Q31&gt;6,S31&gt;6),OR(Q31&gt;6,T31&gt;6)),1,0)</f>
        <v>1</v>
      </c>
      <c r="BC31" s="316">
        <f>IF(AND(Q31&gt;4,OR(Q31&gt;6,S31&gt;6,T31&gt;6)),1,0)</f>
        <v>1</v>
      </c>
      <c r="BD31" s="316">
        <f>IF(AND(Q31&gt;4,OR(Q31&gt;6,R31&gt;6,S31&gt;6,T31&gt;6)),1,0)</f>
        <v>1</v>
      </c>
      <c r="BE31" s="311">
        <f>IF(AND(Q31&gt;4,MAX(Q31:U31)&gt;6),1,0)</f>
        <v>1</v>
      </c>
      <c r="BF31" s="315">
        <f>IF(AND(OR(V31+Y31&gt;12,AND(V31&gt;6,Y31&gt;6)),AL31&gt;6,OR(AM31&gt;=AL31,AM31&gt;6)),1,0)</f>
        <v>0</v>
      </c>
      <c r="BG31" s="316">
        <f>IF(OR(AND(V31&gt;6,Z31&gt;6),V31+Y31&gt;12),1,0)</f>
        <v>1</v>
      </c>
      <c r="BH31" s="316">
        <f>IF(AND(V31&gt;6,X31&gt;6,Y31&gt;6),1,0)</f>
        <v>0</v>
      </c>
      <c r="BI31" s="316">
        <f>IF(AND(X31&gt;7,OR(V31&gt;6,Y31&gt;6)),1,0)</f>
        <v>0</v>
      </c>
      <c r="BJ31" s="316">
        <f>IF(AND(X31&gt;6,OR(V31&gt;6,Y31&gt;6)),1,0)</f>
        <v>0</v>
      </c>
      <c r="BK31" s="316">
        <f>IF(AND(OR(V31&gt;6,X31&gt;6),OR(V31&gt;6,Y31&gt;6)),1,0)</f>
        <v>1</v>
      </c>
      <c r="BL31" s="316">
        <f>IF(AND(V31&gt;4,OR(V31&gt;6,X31&gt;6,Y31&gt;6)),1,0)</f>
        <v>1</v>
      </c>
      <c r="BM31" s="316">
        <f>IF(AND(V31&gt;4,OR(V31&gt;6,W31&gt;6,X31&gt;6,Y31&gt;6)),1,0)</f>
        <v>1</v>
      </c>
      <c r="BN31" s="311">
        <f>IF(AND(V31&gt;4,MAX(V31:Z31)&gt;6),1,0)</f>
        <v>1</v>
      </c>
      <c r="BO31" s="311">
        <f>IF(AVERAGE(AL31:AM31)&gt;9,1,0)+IF(AVERAGE(AL31:AM31)&gt;7,1,0)+IF(AL31&gt;7,1,0)+IF(AM31&gt;7,1,0)+IF(AN31&gt;8,1,0)+IF(AN31&gt;6,1,0)</f>
        <v>0</v>
      </c>
      <c r="BP31" s="317">
        <f>IF(OR(MAX(AD31,AE31,AI31,AK31)&gt;6,MAX(AF31,AG31,AH31,AJ31)&gt;7),2,IF(MAX(AD31:AK31)&gt;4,1,0))</f>
        <v>1</v>
      </c>
      <c r="BQ31" s="310" t="str">
        <f>IF(AP31=1,"Yes","")</f>
        <v>Yes</v>
      </c>
      <c r="BR31" s="309" t="str">
        <f>IF($A31="ML","There",IF(AND($V31&gt;=6,AVERAGE($X31:$Y31)&gt;=6),"Likely",IF(OR($V31&gt;6,AND($V31=6,AVERAGE($X31:$Y31)&gt;=3),AND($V31&gt;=5,AVERAGE($X31:$Y31)&gt;=5),AVERAGE($V31,$X31:$Y31)&gt;5),"Possible","Unlikely")))</f>
        <v>Possible</v>
      </c>
      <c r="BS31" s="310" t="str">
        <f>IF(OR(AND(Q31&gt;=6,S31+T31&gt;=12),Q31&gt;7),"Start",IF(AND(Q31&gt;=5,S31+T31&gt;=8),"Bench","aack!"))</f>
        <v>Start</v>
      </c>
      <c r="BT31" s="310" t="str">
        <f>IF(OR(AND(V31&gt;=6,X31+Y31&gt;=12),V31&gt;7),"Start",IF(AND(V31&gt;=5,X31+Y31&gt;=8),"Bench","aack!"))</f>
        <v>Start</v>
      </c>
      <c r="BU31" s="310" t="str">
        <f>IF(Q31&gt;5,"ML",IF(Q31=5,"AAA",IF(Q31=4,"AA",IF(Q31=3,"A","SS-A"))))</f>
        <v>ML</v>
      </c>
      <c r="BV31" s="310">
        <f>Q31-V31</f>
        <v>0</v>
      </c>
      <c r="BW31" s="310">
        <f>R31-W31</f>
        <v>0</v>
      </c>
      <c r="BX31" s="310">
        <f>S31-X31</f>
        <v>0</v>
      </c>
      <c r="BY31" s="310">
        <f>T31-Y31</f>
        <v>-1</v>
      </c>
      <c r="BZ31" s="310">
        <f>U31-Z31</f>
        <v>0</v>
      </c>
      <c r="CA31" s="310">
        <f>SUM(BV31:BZ31)</f>
        <v>-1</v>
      </c>
      <c r="CB31" s="310">
        <f>V31+X31+Y31</f>
        <v>16</v>
      </c>
      <c r="CC31" s="310">
        <f>V31+X31</f>
        <v>10</v>
      </c>
      <c r="CD31" s="310">
        <f>V31+Y31</f>
        <v>14</v>
      </c>
      <c r="CE31" s="310" t="str">
        <f>IF(J31&gt;24,"Now - Age",IF(Q31&gt;6,"Now",IF(V31&lt;6,"With Dev",MIN(V31-Q31,7-Q31))))</f>
        <v>Now - Age</v>
      </c>
      <c r="CF31" s="325" t="str">
        <f t="shared" si="3"/>
        <v/>
      </c>
      <c r="CG31" s="325" t="str">
        <f t="shared" si="5"/>
        <v/>
      </c>
      <c r="CH31" s="325" t="str">
        <f t="shared" si="6"/>
        <v/>
      </c>
      <c r="CI31" s="325" t="str">
        <f t="shared" si="7"/>
        <v>X</v>
      </c>
      <c r="CJ31" s="325" t="str">
        <f t="shared" si="8"/>
        <v/>
      </c>
      <c r="CK31" s="325" t="str">
        <f t="shared" si="9"/>
        <v/>
      </c>
      <c r="CL31" s="325" t="str">
        <f t="shared" si="10"/>
        <v/>
      </c>
      <c r="CM31" s="325" t="str">
        <f t="shared" si="11"/>
        <v/>
      </c>
      <c r="CN31" s="325" t="str">
        <f t="shared" si="4"/>
        <v/>
      </c>
    </row>
    <row r="32" spans="1:92">
      <c r="A32" s="308" t="s">
        <v>213</v>
      </c>
      <c r="B32" s="309" t="s">
        <v>584</v>
      </c>
      <c r="C32" s="310">
        <f>IF(BH32=1,3,IF(BI32=1,4,IF(BF32=1,1,IF(BJ32=1,5,IF(BG32=1,2,IF(BK32=1,6,IF(BL32=1,7,IF(BM32=1,8,IF(BN32=1,9,"-")))))))))</f>
        <v>7</v>
      </c>
      <c r="D32" s="310">
        <f>IF(AY32=1,3,IF(AZ32=1,4,IF(AW32=1,1,IF(BA32=1,5,IF(AX32=1,2,IF(BB32=1,6,IF(BC32=1,7,IF(BD32=1,8,IF(BE32=1,9,"-")))))))))</f>
        <v>7</v>
      </c>
      <c r="E32" s="310" t="str">
        <f>IF(OR(OR(O32="Very High",O32="High"),AND(OR(O32="Very High",O32="High",O32="Normal"),OR(P32="Very High",P32="High"))),"K","T")</f>
        <v>K</v>
      </c>
      <c r="F32" s="310" t="s">
        <v>102</v>
      </c>
      <c r="G32" s="310" t="s">
        <v>54</v>
      </c>
      <c r="H32" s="310" t="s">
        <v>384</v>
      </c>
      <c r="I32" s="310" t="s">
        <v>213</v>
      </c>
      <c r="J32" s="310">
        <v>27</v>
      </c>
      <c r="K32" s="310" t="s">
        <v>107</v>
      </c>
      <c r="L32" s="310" t="s">
        <v>107</v>
      </c>
      <c r="M32" s="310" t="s">
        <v>47</v>
      </c>
      <c r="N32" s="311" t="s">
        <v>42</v>
      </c>
      <c r="O32" s="310" t="s">
        <v>228</v>
      </c>
      <c r="P32" s="311" t="s">
        <v>230</v>
      </c>
      <c r="Q32" s="310">
        <v>5</v>
      </c>
      <c r="R32" s="310">
        <v>8</v>
      </c>
      <c r="S32" s="310">
        <v>7</v>
      </c>
      <c r="T32" s="310">
        <v>5</v>
      </c>
      <c r="U32" s="311">
        <v>4</v>
      </c>
      <c r="V32" s="310">
        <v>5</v>
      </c>
      <c r="W32" s="310">
        <v>8</v>
      </c>
      <c r="X32" s="310">
        <v>7</v>
      </c>
      <c r="Y32" s="310">
        <v>6</v>
      </c>
      <c r="Z32" s="311">
        <v>4</v>
      </c>
      <c r="AA32" s="310">
        <v>1</v>
      </c>
      <c r="AB32" s="310">
        <v>10</v>
      </c>
      <c r="AC32" s="310">
        <v>1</v>
      </c>
      <c r="AD32" s="310" t="s">
        <v>41</v>
      </c>
      <c r="AE32" s="310" t="s">
        <v>41</v>
      </c>
      <c r="AF32" s="310" t="s">
        <v>41</v>
      </c>
      <c r="AG32" s="310" t="s">
        <v>41</v>
      </c>
      <c r="AH32" s="310" t="s">
        <v>41</v>
      </c>
      <c r="AI32" s="310">
        <v>10</v>
      </c>
      <c r="AJ32" s="310">
        <v>6</v>
      </c>
      <c r="AK32" s="311">
        <v>5</v>
      </c>
      <c r="AL32" s="310">
        <v>8</v>
      </c>
      <c r="AM32" s="310">
        <v>9</v>
      </c>
      <c r="AN32" s="311">
        <v>7</v>
      </c>
      <c r="AO32" s="312" t="s">
        <v>41</v>
      </c>
      <c r="AP32" s="311">
        <v>0</v>
      </c>
      <c r="AQ32" s="313">
        <f>AVERAGE(Q32,S32,T32)+IF(OR(Q32&gt;7,AND(Q32&gt;5,T32&gt;5)),0.5,0)+IF(S32&gt;7,0.25,0)+IF(Q32&lt;6,-0.5*(6-Q32),0)</f>
        <v>5.166666666666667</v>
      </c>
      <c r="AR32" s="314" t="str">
        <f>IF(AQ32&gt;9,"SuperStar",IF(AQ32&gt;8,"Star",IF(AQ32&gt;6.5,"GoodReg",IF(AQ32&gt;5,"Reg",IF(AQ32&gt;4,"Bench","Minors")))))</f>
        <v>Reg</v>
      </c>
      <c r="AS32" s="313">
        <f>AVERAGE(V32,X32,Y32)+IF(OR(V32&gt;7,AND(V32&gt;5,Y32&gt;5)),0.5,0)+IF(X32&gt;7,0.25,0)+IF(V32&lt;6,-0.5*(6-V32),0)</f>
        <v>5.5</v>
      </c>
      <c r="AT32" s="313" t="str">
        <f>IF(AS32&gt;9,"SuperStar",IF(AS32&gt;8,"Star",IF(AS32&gt;6.5,"GoodReg",IF(AS32&gt;5,"Reg",IF(AS32&gt;4,"Bench","Minors")))))</f>
        <v>Reg</v>
      </c>
      <c r="AU32" s="314">
        <f>MIN(AQ32+(MAX(0,25-J32))^1.5,AS32)</f>
        <v>5.166666666666667</v>
      </c>
      <c r="AV32" s="314" t="str">
        <f>IF(AU32&gt;9,"SuperStar",IF(AU32&gt;8,"Star",IF(AU32&gt;6.5,"GoodReg",IF(AU32&gt;5,"Reg",IF(AU32&gt;4,"Bench","Minors")))))</f>
        <v>Reg</v>
      </c>
      <c r="AW32" s="315">
        <f>IF(AND(OR(Q32+T32&gt;12,AND(Q32&gt;6,T32&gt;6)),AL32&gt;6,OR(AM32&gt;=AL32,AM32&gt;6)),1,0)</f>
        <v>0</v>
      </c>
      <c r="AX32" s="316">
        <f>IF(OR(AND(Q32&gt;6,U32&gt;6),Q32+T32&gt;12),1,0)</f>
        <v>0</v>
      </c>
      <c r="AY32" s="316">
        <f>IF(AND(Q32&gt;6,S32&gt;6,T32&gt;6),1,0)</f>
        <v>0</v>
      </c>
      <c r="AZ32" s="316">
        <f>IF(AND(S32&gt;7,OR(Q32&gt;6,T32&gt;6)),1,0)</f>
        <v>0</v>
      </c>
      <c r="BA32" s="316">
        <f>IF(AND(S32&gt;6,OR(Q32&gt;6,T32&gt;6)),1,0)</f>
        <v>0</v>
      </c>
      <c r="BB32" s="316">
        <f>IF(AND(OR(Q32&gt;6,S32&gt;6),OR(Q32&gt;6,T32&gt;6)),1,0)</f>
        <v>0</v>
      </c>
      <c r="BC32" s="316">
        <f>IF(AND(Q32&gt;4,OR(Q32&gt;6,S32&gt;6,T32&gt;6)),1,0)</f>
        <v>1</v>
      </c>
      <c r="BD32" s="316">
        <f>IF(AND(Q32&gt;4,OR(Q32&gt;6,R32&gt;6,S32&gt;6,T32&gt;6)),1,0)</f>
        <v>1</v>
      </c>
      <c r="BE32" s="311">
        <f>IF(AND(Q32&gt;4,MAX(Q32:U32)&gt;6),1,0)</f>
        <v>1</v>
      </c>
      <c r="BF32" s="315">
        <f>IF(AND(OR(V32+Y32&gt;12,AND(V32&gt;6,Y32&gt;6)),AL32&gt;6,OR(AM32&gt;=AL32,AM32&gt;6)),1,0)</f>
        <v>0</v>
      </c>
      <c r="BG32" s="316">
        <f>IF(OR(AND(V32&gt;6,Z32&gt;6),V32+Y32&gt;12),1,0)</f>
        <v>0</v>
      </c>
      <c r="BH32" s="316">
        <f>IF(AND(V32&gt;6,X32&gt;6,Y32&gt;6),1,0)</f>
        <v>0</v>
      </c>
      <c r="BI32" s="316">
        <f>IF(AND(X32&gt;7,OR(V32&gt;6,Y32&gt;6)),1,0)</f>
        <v>0</v>
      </c>
      <c r="BJ32" s="316">
        <f>IF(AND(X32&gt;6,OR(V32&gt;6,Y32&gt;6)),1,0)</f>
        <v>0</v>
      </c>
      <c r="BK32" s="316">
        <f>IF(AND(OR(V32&gt;6,X32&gt;6),OR(V32&gt;6,Y32&gt;6)),1,0)</f>
        <v>0</v>
      </c>
      <c r="BL32" s="316">
        <f>IF(AND(V32&gt;4,OR(V32&gt;6,X32&gt;6,Y32&gt;6)),1,0)</f>
        <v>1</v>
      </c>
      <c r="BM32" s="316">
        <f>IF(AND(V32&gt;4,OR(V32&gt;6,W32&gt;6,X32&gt;6,Y32&gt;6)),1,0)</f>
        <v>1</v>
      </c>
      <c r="BN32" s="311">
        <f>IF(AND(V32&gt;4,MAX(V32:Z32)&gt;6),1,0)</f>
        <v>1</v>
      </c>
      <c r="BO32" s="311">
        <f>IF(AVERAGE(AL32:AM32)&gt;9,1,0)+IF(AVERAGE(AL32:AM32)&gt;7,1,0)+IF(AL32&gt;7,1,0)+IF(AM32&gt;7,1,0)+IF(AN32&gt;8,1,0)+IF(AN32&gt;6,1,0)</f>
        <v>4</v>
      </c>
      <c r="BP32" s="317">
        <f>IF(OR(MAX(AD32,AE32,AI32,AK32)&gt;6,MAX(AF32,AG32,AH32,AJ32)&gt;7),2,IF(MAX(AD32:AK32)&gt;4,1,0))</f>
        <v>2</v>
      </c>
      <c r="BQ32" s="310" t="str">
        <f>IF(AP32=1,"Yes","")</f>
        <v/>
      </c>
      <c r="BR32" s="309" t="str">
        <f>IF($A32="ML","There",IF(AND($V32&gt;=6,AVERAGE($X32:$Y32)&gt;=6),"Likely",IF(OR($V32&gt;6,AND($V32=6,AVERAGE($X32:$Y32)&gt;=3),AND($V32&gt;=5,AVERAGE($X32:$Y32)&gt;=5),AVERAGE($V32,$X32:$Y32)&gt;5),"Possible","Unlikely")))</f>
        <v>Possible</v>
      </c>
      <c r="BS32" s="310" t="str">
        <f>IF(OR(AND(Q32&gt;=6,S32+T32&gt;=12),Q32&gt;7),"Start",IF(AND(Q32&gt;=5,S32+T32&gt;=8),"Bench","aack!"))</f>
        <v>Bench</v>
      </c>
      <c r="BT32" s="310" t="str">
        <f>IF(OR(AND(V32&gt;=6,X32+Y32&gt;=12),V32&gt;7),"Start",IF(AND(V32&gt;=5,X32+Y32&gt;=8),"Bench","aack!"))</f>
        <v>Bench</v>
      </c>
      <c r="BU32" s="310" t="str">
        <f>IF(Q32&gt;5,"ML",IF(Q32=5,"AAA",IF(Q32=4,"AA",IF(Q32=3,"A","SS-A"))))</f>
        <v>AAA</v>
      </c>
      <c r="BV32" s="310">
        <f>Q32-V32</f>
        <v>0</v>
      </c>
      <c r="BW32" s="310">
        <f>R32-W32</f>
        <v>0</v>
      </c>
      <c r="BX32" s="310">
        <f>S32-X32</f>
        <v>0</v>
      </c>
      <c r="BY32" s="310">
        <f>T32-Y32</f>
        <v>-1</v>
      </c>
      <c r="BZ32" s="310">
        <f>U32-Z32</f>
        <v>0</v>
      </c>
      <c r="CA32" s="310">
        <f>SUM(BV32:BZ32)</f>
        <v>-1</v>
      </c>
      <c r="CB32" s="310">
        <f>V32+X32+Y32</f>
        <v>18</v>
      </c>
      <c r="CC32" s="310">
        <f>V32+X32</f>
        <v>12</v>
      </c>
      <c r="CD32" s="310">
        <f>V32+Y32</f>
        <v>11</v>
      </c>
      <c r="CE32" s="310" t="str">
        <f>IF(J32&gt;24,"Now - Age",IF(Q32&gt;6,"Now",IF(V32&lt;6,"With Dev",MIN(V32-Q32,7-Q32))))</f>
        <v>Now - Age</v>
      </c>
      <c r="CF32" s="325" t="str">
        <f t="shared" si="3"/>
        <v/>
      </c>
      <c r="CG32" s="325" t="str">
        <f t="shared" si="5"/>
        <v/>
      </c>
      <c r="CH32" s="325" t="str">
        <f t="shared" si="6"/>
        <v/>
      </c>
      <c r="CI32" s="325" t="str">
        <f t="shared" si="7"/>
        <v/>
      </c>
      <c r="CJ32" s="325" t="str">
        <f t="shared" si="8"/>
        <v/>
      </c>
      <c r="CK32" s="325" t="str">
        <f t="shared" si="9"/>
        <v>X</v>
      </c>
      <c r="CL32" s="325" t="str">
        <f t="shared" si="10"/>
        <v/>
      </c>
      <c r="CM32" s="325" t="str">
        <f t="shared" si="11"/>
        <v/>
      </c>
      <c r="CN32" s="325" t="str">
        <f t="shared" si="4"/>
        <v/>
      </c>
    </row>
    <row r="33" spans="1:92">
      <c r="A33" s="308" t="s">
        <v>213</v>
      </c>
      <c r="B33" s="309" t="s">
        <v>101</v>
      </c>
      <c r="C33" s="310">
        <f>IF(BH33=1,3,IF(BI33=1,4,IF(BF33=1,1,IF(BJ33=1,5,IF(BG33=1,2,IF(BK33=1,6,IF(BL33=1,7,IF(BM33=1,8,IF(BN33=1,9,"-")))))))))</f>
        <v>2</v>
      </c>
      <c r="D33" s="310">
        <f>IF(AY33=1,3,IF(AZ33=1,4,IF(AW33=1,1,IF(BA33=1,5,IF(AX33=1,2,IF(BB33=1,6,IF(BC33=1,7,IF(BD33=1,8,IF(BE33=1,9,"-")))))))))</f>
        <v>6</v>
      </c>
      <c r="E33" s="310" t="str">
        <f>IF(OR(OR(O33="Very High",O33="High"),AND(OR(O33="Very High",O33="High",O33="Normal"),OR(P33="Very High",P33="High"))),"K","T")</f>
        <v>K</v>
      </c>
      <c r="F33" s="310" t="s">
        <v>101</v>
      </c>
      <c r="G33" s="310" t="s">
        <v>403</v>
      </c>
      <c r="H33" s="310" t="s">
        <v>384</v>
      </c>
      <c r="I33" s="310" t="s">
        <v>213</v>
      </c>
      <c r="J33" s="310">
        <v>24</v>
      </c>
      <c r="K33" s="310" t="s">
        <v>106</v>
      </c>
      <c r="L33" s="310" t="s">
        <v>107</v>
      </c>
      <c r="M33" s="310" t="s">
        <v>47</v>
      </c>
      <c r="N33" s="311" t="s">
        <v>42</v>
      </c>
      <c r="O33" s="310" t="s">
        <v>230</v>
      </c>
      <c r="P33" s="311" t="s">
        <v>229</v>
      </c>
      <c r="Q33" s="310">
        <v>7</v>
      </c>
      <c r="R33" s="310">
        <v>8</v>
      </c>
      <c r="S33" s="310">
        <v>4</v>
      </c>
      <c r="T33" s="310">
        <v>3</v>
      </c>
      <c r="U33" s="311">
        <v>5</v>
      </c>
      <c r="V33" s="310">
        <v>8</v>
      </c>
      <c r="W33" s="310">
        <v>8</v>
      </c>
      <c r="X33" s="310">
        <v>5</v>
      </c>
      <c r="Y33" s="310">
        <v>5</v>
      </c>
      <c r="Z33" s="311">
        <v>6</v>
      </c>
      <c r="AA33" s="310">
        <v>1</v>
      </c>
      <c r="AB33" s="310">
        <v>5</v>
      </c>
      <c r="AC33" s="310">
        <v>1</v>
      </c>
      <c r="AD33" s="310" t="s">
        <v>41</v>
      </c>
      <c r="AE33" s="310" t="s">
        <v>41</v>
      </c>
      <c r="AF33" s="310" t="s">
        <v>41</v>
      </c>
      <c r="AG33" s="310" t="s">
        <v>41</v>
      </c>
      <c r="AH33" s="310" t="s">
        <v>41</v>
      </c>
      <c r="AI33" s="310">
        <v>7</v>
      </c>
      <c r="AJ33" s="310">
        <v>3</v>
      </c>
      <c r="AK33" s="311">
        <v>3</v>
      </c>
      <c r="AL33" s="310">
        <v>4</v>
      </c>
      <c r="AM33" s="310">
        <v>6</v>
      </c>
      <c r="AN33" s="311">
        <v>5</v>
      </c>
      <c r="AO33" s="312" t="s">
        <v>41</v>
      </c>
      <c r="AP33" s="311">
        <v>0</v>
      </c>
      <c r="AQ33" s="313">
        <f>AVERAGE(Q33,S33,T33)+IF(OR(Q33&gt;7,AND(Q33&gt;5,T33&gt;5)),0.5,0)+IF(S33&gt;7,0.25,0)+IF(Q33&lt;6,-0.5*(6-Q33),0)</f>
        <v>4.666666666666667</v>
      </c>
      <c r="AR33" s="314" t="str">
        <f>IF(AQ33&gt;9,"SuperStar",IF(AQ33&gt;8,"Star",IF(AQ33&gt;6.5,"GoodReg",IF(AQ33&gt;5,"Reg",IF(AQ33&gt;4,"Bench","Minors")))))</f>
        <v>Bench</v>
      </c>
      <c r="AS33" s="313">
        <f>AVERAGE(V33,X33,Y33)+IF(OR(V33&gt;7,AND(V33&gt;5,Y33&gt;5)),0.5,0)+IF(X33&gt;7,0.25,0)+IF(V33&lt;6,-0.5*(6-V33),0)</f>
        <v>6.5</v>
      </c>
      <c r="AT33" s="313" t="str">
        <f>IF(AS33&gt;9,"SuperStar",IF(AS33&gt;8,"Star",IF(AS33&gt;6.5,"GoodReg",IF(AS33&gt;5,"Reg",IF(AS33&gt;4,"Bench","Minors")))))</f>
        <v>Reg</v>
      </c>
      <c r="AU33" s="314">
        <f>MIN(AQ33+(MAX(0,25-J33))^1.5,AS33)</f>
        <v>5.666666666666667</v>
      </c>
      <c r="AV33" s="314" t="str">
        <f>IF(AU33&gt;9,"SuperStar",IF(AU33&gt;8,"Star",IF(AU33&gt;6.5,"GoodReg",IF(AU33&gt;5,"Reg",IF(AU33&gt;4,"Bench","Minors")))))</f>
        <v>Reg</v>
      </c>
      <c r="AW33" s="315">
        <f>IF(AND(OR(Q33+T33&gt;12,AND(Q33&gt;6,T33&gt;6)),AL33&gt;6,OR(AM33&gt;=AL33,AM33&gt;6)),1,0)</f>
        <v>0</v>
      </c>
      <c r="AX33" s="316">
        <f>IF(OR(AND(Q33&gt;6,U33&gt;6),Q33+T33&gt;12),1,0)</f>
        <v>0</v>
      </c>
      <c r="AY33" s="316">
        <f>IF(AND(Q33&gt;6,S33&gt;6,T33&gt;6),1,0)</f>
        <v>0</v>
      </c>
      <c r="AZ33" s="316">
        <f>IF(AND(S33&gt;7,OR(Q33&gt;6,T33&gt;6)),1,0)</f>
        <v>0</v>
      </c>
      <c r="BA33" s="316">
        <f>IF(AND(S33&gt;6,OR(Q33&gt;6,T33&gt;6)),1,0)</f>
        <v>0</v>
      </c>
      <c r="BB33" s="316">
        <f>IF(AND(OR(Q33&gt;6,S33&gt;6),OR(Q33&gt;6,T33&gt;6)),1,0)</f>
        <v>1</v>
      </c>
      <c r="BC33" s="316">
        <f>IF(AND(Q33&gt;4,OR(Q33&gt;6,S33&gt;6,T33&gt;6)),1,0)</f>
        <v>1</v>
      </c>
      <c r="BD33" s="316">
        <f>IF(AND(Q33&gt;4,OR(Q33&gt;6,R33&gt;6,S33&gt;6,T33&gt;6)),1,0)</f>
        <v>1</v>
      </c>
      <c r="BE33" s="311">
        <f>IF(AND(Q33&gt;4,MAX(Q33:U33)&gt;6),1,0)</f>
        <v>1</v>
      </c>
      <c r="BF33" s="315">
        <f>IF(AND(OR(V33+Y33&gt;12,AND(V33&gt;6,Y33&gt;6)),AL33&gt;6,OR(AM33&gt;=AL33,AM33&gt;6)),1,0)</f>
        <v>0</v>
      </c>
      <c r="BG33" s="316">
        <f>IF(OR(AND(V33&gt;6,Z33&gt;6),V33+Y33&gt;12),1,0)</f>
        <v>1</v>
      </c>
      <c r="BH33" s="316">
        <f>IF(AND(V33&gt;6,X33&gt;6,Y33&gt;6),1,0)</f>
        <v>0</v>
      </c>
      <c r="BI33" s="316">
        <f>IF(AND(X33&gt;7,OR(V33&gt;6,Y33&gt;6)),1,0)</f>
        <v>0</v>
      </c>
      <c r="BJ33" s="316">
        <f>IF(AND(X33&gt;6,OR(V33&gt;6,Y33&gt;6)),1,0)</f>
        <v>0</v>
      </c>
      <c r="BK33" s="316">
        <f>IF(AND(OR(V33&gt;6,X33&gt;6),OR(V33&gt;6,Y33&gt;6)),1,0)</f>
        <v>1</v>
      </c>
      <c r="BL33" s="316">
        <f>IF(AND(V33&gt;4,OR(V33&gt;6,X33&gt;6,Y33&gt;6)),1,0)</f>
        <v>1</v>
      </c>
      <c r="BM33" s="316">
        <f>IF(AND(V33&gt;4,OR(V33&gt;6,W33&gt;6,X33&gt;6,Y33&gt;6)),1,0)</f>
        <v>1</v>
      </c>
      <c r="BN33" s="311">
        <f>IF(AND(V33&gt;4,MAX(V33:Z33)&gt;6),1,0)</f>
        <v>1</v>
      </c>
      <c r="BO33" s="311">
        <f>IF(AVERAGE(AL33:AM33)&gt;9,1,0)+IF(AVERAGE(AL33:AM33)&gt;7,1,0)+IF(AL33&gt;7,1,0)+IF(AM33&gt;7,1,0)+IF(AN33&gt;8,1,0)+IF(AN33&gt;6,1,0)</f>
        <v>0</v>
      </c>
      <c r="BP33" s="317">
        <f>IF(OR(MAX(AD33,AE33,AI33,AK33)&gt;6,MAX(AF33,AG33,AH33,AJ33)&gt;7),2,IF(MAX(AD33:AK33)&gt;4,1,0))</f>
        <v>2</v>
      </c>
      <c r="BQ33" s="310" t="str">
        <f>IF(AP33=1,"Yes","")</f>
        <v/>
      </c>
      <c r="BR33" s="309" t="str">
        <f>IF($A33="ML","There",IF(AND($V33&gt;=6,AVERAGE($X33:$Y33)&gt;=6),"Likely",IF(OR($V33&gt;6,AND($V33=6,AVERAGE($X33:$Y33)&gt;=3),AND($V33&gt;=5,AVERAGE($X33:$Y33)&gt;=5),AVERAGE($V33,$X33:$Y33)&gt;5),"Possible","Unlikely")))</f>
        <v>Possible</v>
      </c>
      <c r="BS33" s="310" t="str">
        <f>IF(OR(AND(Q33&gt;=6,S33+T33&gt;=12),Q33&gt;7),"Start",IF(AND(Q33&gt;=5,S33+T33&gt;=8),"Bench","aack!"))</f>
        <v>aack!</v>
      </c>
      <c r="BT33" s="310" t="str">
        <f>IF(OR(AND(V33&gt;=6,X33+Y33&gt;=12),V33&gt;7),"Start",IF(AND(V33&gt;=5,X33+Y33&gt;=8),"Bench","aack!"))</f>
        <v>Start</v>
      </c>
      <c r="BU33" s="310" t="str">
        <f>IF(Q33&gt;5,"ML",IF(Q33=5,"AAA",IF(Q33=4,"AA",IF(Q33=3,"A","SS-A"))))</f>
        <v>ML</v>
      </c>
      <c r="BV33" s="310">
        <f>Q33-V33</f>
        <v>-1</v>
      </c>
      <c r="BW33" s="310">
        <f>R33-W33</f>
        <v>0</v>
      </c>
      <c r="BX33" s="310">
        <f>S33-X33</f>
        <v>-1</v>
      </c>
      <c r="BY33" s="310">
        <f>T33-Y33</f>
        <v>-2</v>
      </c>
      <c r="BZ33" s="310">
        <f>U33-Z33</f>
        <v>-1</v>
      </c>
      <c r="CA33" s="310">
        <f>SUM(BV33:BZ33)</f>
        <v>-5</v>
      </c>
      <c r="CB33" s="310">
        <f>V33+X33+Y33</f>
        <v>18</v>
      </c>
      <c r="CC33" s="310">
        <f>V33+X33</f>
        <v>13</v>
      </c>
      <c r="CD33" s="310">
        <f>V33+Y33</f>
        <v>13</v>
      </c>
      <c r="CE33" s="310" t="str">
        <f>IF(J33&gt;24,"Now - Age",IF(Q33&gt;6,"Now",IF(V33&lt;6,"With Dev",MIN(V33-Q33,7-Q33))))</f>
        <v>Now</v>
      </c>
      <c r="CF33" s="325" t="str">
        <f t="shared" si="3"/>
        <v/>
      </c>
      <c r="CG33" s="325" t="str">
        <f t="shared" si="5"/>
        <v/>
      </c>
      <c r="CH33" s="325" t="str">
        <f t="shared" si="6"/>
        <v/>
      </c>
      <c r="CI33" s="325" t="str">
        <f t="shared" si="7"/>
        <v/>
      </c>
      <c r="CJ33" s="325" t="str">
        <f t="shared" si="8"/>
        <v/>
      </c>
      <c r="CK33" s="325" t="str">
        <f t="shared" si="9"/>
        <v>X</v>
      </c>
      <c r="CL33" s="325" t="str">
        <f t="shared" si="10"/>
        <v/>
      </c>
      <c r="CM33" s="325" t="str">
        <f t="shared" si="11"/>
        <v/>
      </c>
      <c r="CN33" s="325" t="str">
        <f t="shared" si="4"/>
        <v/>
      </c>
    </row>
    <row r="34" spans="1:92">
      <c r="A34" s="308" t="s">
        <v>213</v>
      </c>
      <c r="B34" s="309" t="s">
        <v>95</v>
      </c>
      <c r="C34" s="310">
        <f>IF(BH34=1,3,IF(BI34=1,4,IF(BF34=1,1,IF(BJ34=1,5,IF(BG34=1,2,IF(BK34=1,6,IF(BL34=1,7,IF(BM34=1,8,IF(BN34=1,9,"-")))))))))</f>
        <v>7</v>
      </c>
      <c r="D34" s="310" t="str">
        <f>IF(AY34=1,3,IF(AZ34=1,4,IF(AW34=1,1,IF(BA34=1,5,IF(AX34=1,2,IF(BB34=1,6,IF(BC34=1,7,IF(BD34=1,8,IF(BE34=1,9,"-")))))))))</f>
        <v>-</v>
      </c>
      <c r="E34" s="310" t="str">
        <f>IF(OR(OR(O34="Very High",O34="High"),AND(OR(O34="Very High",O34="High",O34="Normal"),OR(P34="Very High",P34="High"))),"K","T")</f>
        <v>T</v>
      </c>
      <c r="F34" s="310" t="s">
        <v>95</v>
      </c>
      <c r="G34" s="310" t="s">
        <v>305</v>
      </c>
      <c r="H34" s="310" t="s">
        <v>384</v>
      </c>
      <c r="I34" s="310" t="s">
        <v>213</v>
      </c>
      <c r="J34" s="310">
        <v>24</v>
      </c>
      <c r="K34" s="310" t="s">
        <v>109</v>
      </c>
      <c r="L34" s="310" t="s">
        <v>107</v>
      </c>
      <c r="M34" s="310" t="s">
        <v>47</v>
      </c>
      <c r="N34" s="311" t="s">
        <v>47</v>
      </c>
      <c r="O34" s="310" t="s">
        <v>231</v>
      </c>
      <c r="P34" s="311" t="s">
        <v>231</v>
      </c>
      <c r="Q34" s="310">
        <v>5</v>
      </c>
      <c r="R34" s="310">
        <v>6</v>
      </c>
      <c r="S34" s="310">
        <v>4</v>
      </c>
      <c r="T34" s="310">
        <v>6</v>
      </c>
      <c r="U34" s="311">
        <v>6</v>
      </c>
      <c r="V34" s="310">
        <v>5</v>
      </c>
      <c r="W34" s="310">
        <v>6</v>
      </c>
      <c r="X34" s="310">
        <v>4</v>
      </c>
      <c r="Y34" s="310">
        <v>7</v>
      </c>
      <c r="Z34" s="311">
        <v>6</v>
      </c>
      <c r="AA34" s="310">
        <v>4</v>
      </c>
      <c r="AB34" s="310">
        <v>4</v>
      </c>
      <c r="AC34" s="310">
        <v>6</v>
      </c>
      <c r="AD34" s="310">
        <v>5</v>
      </c>
      <c r="AE34" s="310" t="s">
        <v>41</v>
      </c>
      <c r="AF34" s="310" t="s">
        <v>41</v>
      </c>
      <c r="AG34" s="310" t="s">
        <v>41</v>
      </c>
      <c r="AH34" s="310" t="s">
        <v>41</v>
      </c>
      <c r="AI34" s="310" t="s">
        <v>41</v>
      </c>
      <c r="AJ34" s="310" t="s">
        <v>41</v>
      </c>
      <c r="AK34" s="311" t="s">
        <v>41</v>
      </c>
      <c r="AL34" s="310">
        <v>6</v>
      </c>
      <c r="AM34" s="310">
        <v>4</v>
      </c>
      <c r="AN34" s="311">
        <v>2</v>
      </c>
      <c r="AO34" s="312" t="s">
        <v>41</v>
      </c>
      <c r="AP34" s="311">
        <v>0</v>
      </c>
      <c r="AQ34" s="313">
        <f>AVERAGE(Q34,S34,T34)+IF(OR(Q34&gt;7,AND(Q34&gt;5,T34&gt;5)),0.5,0)+IF(S34&gt;7,0.25,0)+IF(Q34&lt;6,-0.5*(6-Q34),0)</f>
        <v>4.5</v>
      </c>
      <c r="AR34" s="314" t="str">
        <f>IF(AQ34&gt;9,"SuperStar",IF(AQ34&gt;8,"Star",IF(AQ34&gt;6.5,"GoodReg",IF(AQ34&gt;5,"Reg",IF(AQ34&gt;4,"Bench","Minors")))))</f>
        <v>Bench</v>
      </c>
      <c r="AS34" s="313">
        <f>AVERAGE(V34,X34,Y34)+IF(OR(V34&gt;7,AND(V34&gt;5,Y34&gt;5)),0.5,0)+IF(X34&gt;7,0.25,0)+IF(V34&lt;6,-0.5*(6-V34),0)</f>
        <v>4.833333333333333</v>
      </c>
      <c r="AT34" s="313" t="str">
        <f>IF(AS34&gt;9,"SuperStar",IF(AS34&gt;8,"Star",IF(AS34&gt;6.5,"GoodReg",IF(AS34&gt;5,"Reg",IF(AS34&gt;4,"Bench","Minors")))))</f>
        <v>Bench</v>
      </c>
      <c r="AU34" s="314">
        <f>MIN(AQ34+(MAX(0,25-J34))^1.5,AS34)</f>
        <v>4.833333333333333</v>
      </c>
      <c r="AV34" s="314" t="str">
        <f>IF(AU34&gt;9,"SuperStar",IF(AU34&gt;8,"Star",IF(AU34&gt;6.5,"GoodReg",IF(AU34&gt;5,"Reg",IF(AU34&gt;4,"Bench","Minors")))))</f>
        <v>Bench</v>
      </c>
      <c r="AW34" s="315">
        <f>IF(AND(OR(Q34+T34&gt;12,AND(Q34&gt;6,T34&gt;6)),AL34&gt;6,OR(AM34&gt;=AL34,AM34&gt;6)),1,0)</f>
        <v>0</v>
      </c>
      <c r="AX34" s="316">
        <f>IF(OR(AND(Q34&gt;6,U34&gt;6),Q34+T34&gt;12),1,0)</f>
        <v>0</v>
      </c>
      <c r="AY34" s="316">
        <f>IF(AND(Q34&gt;6,S34&gt;6,T34&gt;6),1,0)</f>
        <v>0</v>
      </c>
      <c r="AZ34" s="316">
        <f>IF(AND(S34&gt;7,OR(Q34&gt;6,T34&gt;6)),1,0)</f>
        <v>0</v>
      </c>
      <c r="BA34" s="316">
        <f>IF(AND(S34&gt;6,OR(Q34&gt;6,T34&gt;6)),1,0)</f>
        <v>0</v>
      </c>
      <c r="BB34" s="316">
        <f>IF(AND(OR(Q34&gt;6,S34&gt;6),OR(Q34&gt;6,T34&gt;6)),1,0)</f>
        <v>0</v>
      </c>
      <c r="BC34" s="316">
        <f>IF(AND(Q34&gt;4,OR(Q34&gt;6,S34&gt;6,T34&gt;6)),1,0)</f>
        <v>0</v>
      </c>
      <c r="BD34" s="316">
        <f>IF(AND(Q34&gt;4,OR(Q34&gt;6,R34&gt;6,S34&gt;6,T34&gt;6)),1,0)</f>
        <v>0</v>
      </c>
      <c r="BE34" s="311">
        <f>IF(AND(Q34&gt;4,MAX(Q34:U34)&gt;6),1,0)</f>
        <v>0</v>
      </c>
      <c r="BF34" s="315">
        <f>IF(AND(OR(V34+Y34&gt;12,AND(V34&gt;6,Y34&gt;6)),AL34&gt;6,OR(AM34&gt;=AL34,AM34&gt;6)),1,0)</f>
        <v>0</v>
      </c>
      <c r="BG34" s="316">
        <f>IF(OR(AND(V34&gt;6,Z34&gt;6),V34+Y34&gt;12),1,0)</f>
        <v>0</v>
      </c>
      <c r="BH34" s="316">
        <f>IF(AND(V34&gt;6,X34&gt;6,Y34&gt;6),1,0)</f>
        <v>0</v>
      </c>
      <c r="BI34" s="316">
        <f>IF(AND(X34&gt;7,OR(V34&gt;6,Y34&gt;6)),1,0)</f>
        <v>0</v>
      </c>
      <c r="BJ34" s="316">
        <f>IF(AND(X34&gt;6,OR(V34&gt;6,Y34&gt;6)),1,0)</f>
        <v>0</v>
      </c>
      <c r="BK34" s="316">
        <f>IF(AND(OR(V34&gt;6,X34&gt;6),OR(V34&gt;6,Y34&gt;6)),1,0)</f>
        <v>0</v>
      </c>
      <c r="BL34" s="316">
        <f>IF(AND(V34&gt;4,OR(V34&gt;6,X34&gt;6,Y34&gt;6)),1,0)</f>
        <v>1</v>
      </c>
      <c r="BM34" s="316">
        <f>IF(AND(V34&gt;4,OR(V34&gt;6,W34&gt;6,X34&gt;6,Y34&gt;6)),1,0)</f>
        <v>1</v>
      </c>
      <c r="BN34" s="311">
        <f>IF(AND(V34&gt;4,MAX(V34:Z34)&gt;6),1,0)</f>
        <v>1</v>
      </c>
      <c r="BO34" s="311">
        <f>IF(AVERAGE(AL34:AM34)&gt;9,1,0)+IF(AVERAGE(AL34:AM34)&gt;7,1,0)+IF(AL34&gt;7,1,0)+IF(AM34&gt;7,1,0)+IF(AN34&gt;8,1,0)+IF(AN34&gt;6,1,0)</f>
        <v>0</v>
      </c>
      <c r="BP34" s="317">
        <f>IF(OR(MAX(AD34,AE34,AI34,AK34)&gt;6,MAX(AF34,AG34,AH34,AJ34)&gt;7),2,IF(MAX(AD34:AK34)&gt;4,1,0))</f>
        <v>1</v>
      </c>
      <c r="BQ34" s="310" t="str">
        <f>IF(AP34=1,"Yes","")</f>
        <v/>
      </c>
      <c r="BR34" s="309" t="str">
        <f>IF($A34="ML","There",IF(AND($V34&gt;=6,AVERAGE($X34:$Y34)&gt;=6),"Likely",IF(OR($V34&gt;6,AND($V34=6,AVERAGE($X34:$Y34)&gt;=3),AND($V34&gt;=5,AVERAGE($X34:$Y34)&gt;=5),AVERAGE($V34,$X34:$Y34)&gt;5),"Possible","Unlikely")))</f>
        <v>Possible</v>
      </c>
      <c r="BS34" s="310" t="str">
        <f>IF(OR(AND(Q34&gt;=6,S34+T34&gt;=12),Q34&gt;7),"Start",IF(AND(Q34&gt;=5,S34+T34&gt;=8),"Bench","aack!"))</f>
        <v>Bench</v>
      </c>
      <c r="BT34" s="310" t="str">
        <f>IF(OR(AND(V34&gt;=6,X34+Y34&gt;=12),V34&gt;7),"Start",IF(AND(V34&gt;=5,X34+Y34&gt;=8),"Bench","aack!"))</f>
        <v>Bench</v>
      </c>
      <c r="BU34" s="310" t="str">
        <f>IF(Q34&gt;5,"ML",IF(Q34=5,"AAA",IF(Q34=4,"AA",IF(Q34=3,"A","SS-A"))))</f>
        <v>AAA</v>
      </c>
      <c r="BV34" s="310">
        <f>Q34-V34</f>
        <v>0</v>
      </c>
      <c r="BW34" s="310">
        <f>R34-W34</f>
        <v>0</v>
      </c>
      <c r="BX34" s="310">
        <f>S34-X34</f>
        <v>0</v>
      </c>
      <c r="BY34" s="310">
        <f>T34-Y34</f>
        <v>-1</v>
      </c>
      <c r="BZ34" s="310">
        <f>U34-Z34</f>
        <v>0</v>
      </c>
      <c r="CA34" s="310">
        <f>SUM(BV34:BZ34)</f>
        <v>-1</v>
      </c>
      <c r="CB34" s="310">
        <f>V34+X34+Y34</f>
        <v>16</v>
      </c>
      <c r="CC34" s="310">
        <f>V34+X34</f>
        <v>9</v>
      </c>
      <c r="CD34" s="310">
        <f>V34+Y34</f>
        <v>12</v>
      </c>
      <c r="CE34" s="310" t="str">
        <f>IF(J34&gt;24,"Now - Age",IF(Q34&gt;6,"Now",IF(V34&lt;6,"With Dev",MIN(V34-Q34,7-Q34))))</f>
        <v>With Dev</v>
      </c>
      <c r="CF34" s="325" t="str">
        <f t="shared" si="3"/>
        <v>X</v>
      </c>
      <c r="CG34" s="325" t="str">
        <f t="shared" si="5"/>
        <v/>
      </c>
      <c r="CH34" s="325" t="str">
        <f t="shared" si="6"/>
        <v/>
      </c>
      <c r="CI34" s="325" t="str">
        <f t="shared" si="7"/>
        <v/>
      </c>
      <c r="CJ34" s="325" t="str">
        <f t="shared" si="8"/>
        <v/>
      </c>
      <c r="CK34" s="325" t="str">
        <f t="shared" si="9"/>
        <v/>
      </c>
      <c r="CL34" s="325" t="str">
        <f t="shared" si="10"/>
        <v/>
      </c>
      <c r="CM34" s="325" t="str">
        <f t="shared" si="11"/>
        <v/>
      </c>
      <c r="CN34" s="325" t="str">
        <f t="shared" si="4"/>
        <v/>
      </c>
    </row>
    <row r="35" spans="1:92">
      <c r="A35" s="308" t="s">
        <v>213</v>
      </c>
      <c r="B35" s="309" t="s">
        <v>582</v>
      </c>
      <c r="C35" s="310">
        <f>IF(BH35=1,3,IF(BI35=1,4,IF(BF35=1,1,IF(BJ35=1,5,IF(BG35=1,2,IF(BK35=1,6,IF(BL35=1,7,IF(BM35=1,8,IF(BN35=1,9,"-")))))))))</f>
        <v>2</v>
      </c>
      <c r="D35" s="310">
        <f>IF(AY35=1,3,IF(AZ35=1,4,IF(AW35=1,1,IF(BA35=1,5,IF(AX35=1,2,IF(BB35=1,6,IF(BC35=1,7,IF(BD35=1,8,IF(BE35=1,9,"-")))))))))</f>
        <v>2</v>
      </c>
      <c r="E35" s="310" t="str">
        <f>IF(OR(OR(O35="Very High",O35="High"),AND(OR(O35="Very High",O35="High",O35="Normal"),OR(P35="Very High",P35="High"))),"K","T")</f>
        <v>K</v>
      </c>
      <c r="F35" s="310" t="s">
        <v>99</v>
      </c>
      <c r="G35" s="310" t="s">
        <v>432</v>
      </c>
      <c r="H35" s="310" t="s">
        <v>384</v>
      </c>
      <c r="I35" s="310" t="s">
        <v>213</v>
      </c>
      <c r="J35" s="310">
        <v>28</v>
      </c>
      <c r="K35" s="310" t="s">
        <v>107</v>
      </c>
      <c r="L35" s="310" t="s">
        <v>107</v>
      </c>
      <c r="M35" s="310" t="s">
        <v>47</v>
      </c>
      <c r="N35" s="311" t="s">
        <v>47</v>
      </c>
      <c r="O35" s="310" t="s">
        <v>229</v>
      </c>
      <c r="P35" s="311" t="s">
        <v>231</v>
      </c>
      <c r="Q35" s="310">
        <v>5</v>
      </c>
      <c r="R35" s="310">
        <v>7</v>
      </c>
      <c r="S35" s="310">
        <v>2</v>
      </c>
      <c r="T35" s="310">
        <v>8</v>
      </c>
      <c r="U35" s="311">
        <v>4</v>
      </c>
      <c r="V35" s="310">
        <v>5</v>
      </c>
      <c r="W35" s="310">
        <v>7</v>
      </c>
      <c r="X35" s="310">
        <v>2</v>
      </c>
      <c r="Y35" s="310">
        <v>8</v>
      </c>
      <c r="Z35" s="311">
        <v>4</v>
      </c>
      <c r="AA35" s="310">
        <v>4</v>
      </c>
      <c r="AB35" s="310">
        <v>2</v>
      </c>
      <c r="AC35" s="310">
        <v>1</v>
      </c>
      <c r="AD35" s="310" t="s">
        <v>41</v>
      </c>
      <c r="AE35" s="310">
        <v>10</v>
      </c>
      <c r="AF35" s="310">
        <v>8</v>
      </c>
      <c r="AG35" s="310">
        <v>7</v>
      </c>
      <c r="AH35" s="310">
        <v>7</v>
      </c>
      <c r="AI35" s="310">
        <v>1</v>
      </c>
      <c r="AJ35" s="310" t="s">
        <v>41</v>
      </c>
      <c r="AK35" s="311" t="s">
        <v>41</v>
      </c>
      <c r="AL35" s="310">
        <v>6</v>
      </c>
      <c r="AM35" s="310">
        <v>5</v>
      </c>
      <c r="AN35" s="311">
        <v>5</v>
      </c>
      <c r="AO35" s="312">
        <v>490000</v>
      </c>
      <c r="AP35" s="311" t="s">
        <v>45</v>
      </c>
      <c r="AQ35" s="313">
        <f>AVERAGE(Q35,S35,T35)+IF(OR(Q35&gt;7,AND(Q35&gt;5,T35&gt;5)),0.5,0)+IF(S35&gt;7,0.25,0)+IF(Q35&lt;6,-0.5*(6-Q35),0)</f>
        <v>4.5</v>
      </c>
      <c r="AR35" s="314" t="str">
        <f>IF(AQ35&gt;9,"SuperStar",IF(AQ35&gt;8,"Star",IF(AQ35&gt;6.5,"GoodReg",IF(AQ35&gt;5,"Reg",IF(AQ35&gt;4,"Bench","Minors")))))</f>
        <v>Bench</v>
      </c>
      <c r="AS35" s="313">
        <f>AVERAGE(V35,X35,Y35)+IF(OR(V35&gt;7,AND(V35&gt;5,Y35&gt;5)),0.5,0)+IF(X35&gt;7,0.25,0)+IF(V35&lt;6,-0.5*(6-V35),0)</f>
        <v>4.5</v>
      </c>
      <c r="AT35" s="313" t="str">
        <f>IF(AS35&gt;9,"SuperStar",IF(AS35&gt;8,"Star",IF(AS35&gt;6.5,"GoodReg",IF(AS35&gt;5,"Reg",IF(AS35&gt;4,"Bench","Minors")))))</f>
        <v>Bench</v>
      </c>
      <c r="AU35" s="314">
        <f>MIN(AQ35+(MAX(0,25-J35))^1.5,AS35)</f>
        <v>4.5</v>
      </c>
      <c r="AV35" s="314" t="str">
        <f>IF(AU35&gt;9,"SuperStar",IF(AU35&gt;8,"Star",IF(AU35&gt;6.5,"GoodReg",IF(AU35&gt;5,"Reg",IF(AU35&gt;4,"Bench","Minors")))))</f>
        <v>Bench</v>
      </c>
      <c r="AW35" s="315">
        <f>IF(AND(OR(Q35+T35&gt;12,AND(Q35&gt;6,T35&gt;6)),AL35&gt;6,OR(AM35&gt;=AL35,AM35&gt;6)),1,0)</f>
        <v>0</v>
      </c>
      <c r="AX35" s="316">
        <f>IF(OR(AND(Q35&gt;6,U35&gt;6),Q35+T35&gt;12),1,0)</f>
        <v>1</v>
      </c>
      <c r="AY35" s="316">
        <f>IF(AND(Q35&gt;6,S35&gt;6,T35&gt;6),1,0)</f>
        <v>0</v>
      </c>
      <c r="AZ35" s="316">
        <f>IF(AND(S35&gt;7,OR(Q35&gt;6,T35&gt;6)),1,0)</f>
        <v>0</v>
      </c>
      <c r="BA35" s="316">
        <f>IF(AND(S35&gt;6,OR(Q35&gt;6,T35&gt;6)),1,0)</f>
        <v>0</v>
      </c>
      <c r="BB35" s="316">
        <f>IF(AND(OR(Q35&gt;6,S35&gt;6),OR(Q35&gt;6,T35&gt;6)),1,0)</f>
        <v>0</v>
      </c>
      <c r="BC35" s="316">
        <f>IF(AND(Q35&gt;4,OR(Q35&gt;6,S35&gt;6,T35&gt;6)),1,0)</f>
        <v>1</v>
      </c>
      <c r="BD35" s="316">
        <f>IF(AND(Q35&gt;4,OR(Q35&gt;6,R35&gt;6,S35&gt;6,T35&gt;6)),1,0)</f>
        <v>1</v>
      </c>
      <c r="BE35" s="311">
        <f>IF(AND(Q35&gt;4,MAX(Q35:U35)&gt;6),1,0)</f>
        <v>1</v>
      </c>
      <c r="BF35" s="315">
        <f>IF(AND(OR(V35+Y35&gt;12,AND(V35&gt;6,Y35&gt;6)),AL35&gt;6,OR(AM35&gt;=AL35,AM35&gt;6)),1,0)</f>
        <v>0</v>
      </c>
      <c r="BG35" s="316">
        <f>IF(OR(AND(V35&gt;6,Z35&gt;6),V35+Y35&gt;12),1,0)</f>
        <v>1</v>
      </c>
      <c r="BH35" s="316">
        <f>IF(AND(V35&gt;6,X35&gt;6,Y35&gt;6),1,0)</f>
        <v>0</v>
      </c>
      <c r="BI35" s="316">
        <f>IF(AND(X35&gt;7,OR(V35&gt;6,Y35&gt;6)),1,0)</f>
        <v>0</v>
      </c>
      <c r="BJ35" s="316">
        <f>IF(AND(X35&gt;6,OR(V35&gt;6,Y35&gt;6)),1,0)</f>
        <v>0</v>
      </c>
      <c r="BK35" s="316">
        <f>IF(AND(OR(V35&gt;6,X35&gt;6),OR(V35&gt;6,Y35&gt;6)),1,0)</f>
        <v>0</v>
      </c>
      <c r="BL35" s="316">
        <f>IF(AND(V35&gt;4,OR(V35&gt;6,X35&gt;6,Y35&gt;6)),1,0)</f>
        <v>1</v>
      </c>
      <c r="BM35" s="316">
        <f>IF(AND(V35&gt;4,OR(V35&gt;6,W35&gt;6,X35&gt;6,Y35&gt;6)),1,0)</f>
        <v>1</v>
      </c>
      <c r="BN35" s="311">
        <f>IF(AND(V35&gt;4,MAX(V35:Z35)&gt;6),1,0)</f>
        <v>1</v>
      </c>
      <c r="BO35" s="311">
        <f>IF(AVERAGE(AL35:AM35)&gt;9,1,0)+IF(AVERAGE(AL35:AM35)&gt;7,1,0)+IF(AL35&gt;7,1,0)+IF(AM35&gt;7,1,0)+IF(AN35&gt;8,1,0)+IF(AN35&gt;6,1,0)</f>
        <v>0</v>
      </c>
      <c r="BP35" s="317">
        <f>IF(OR(MAX(AD35,AE35,AI35,AK35)&gt;6,MAX(AF35,AG35,AH35,AJ35)&gt;7),2,IF(MAX(AD35:AK35)&gt;4,1,0))</f>
        <v>2</v>
      </c>
      <c r="BQ35" s="310" t="str">
        <f>IF(AP35=1,"Yes","")</f>
        <v/>
      </c>
      <c r="BR35" s="309" t="str">
        <f>IF($A35="ML","There",IF(AND($V35&gt;=6,AVERAGE($X35:$Y35)&gt;=6),"Likely",IF(OR($V35&gt;6,AND($V35=6,AVERAGE($X35:$Y35)&gt;=3),AND($V35&gt;=5,AVERAGE($X35:$Y35)&gt;=5),AVERAGE($V35,$X35:$Y35)&gt;5),"Possible","Unlikely")))</f>
        <v>Possible</v>
      </c>
      <c r="BS35" s="310" t="str">
        <f>IF(OR(AND(Q35&gt;=6,S35+T35&gt;=12),Q35&gt;7),"Start",IF(AND(Q35&gt;=5,S35+T35&gt;=8),"Bench","aack!"))</f>
        <v>Bench</v>
      </c>
      <c r="BT35" s="310" t="str">
        <f>IF(OR(AND(V35&gt;=6,X35+Y35&gt;=12),V35&gt;7),"Start",IF(AND(V35&gt;=5,X35+Y35&gt;=8),"Bench","aack!"))</f>
        <v>Bench</v>
      </c>
      <c r="BU35" s="310" t="str">
        <f>IF(Q35&gt;5,"ML",IF(Q35=5,"AAA",IF(Q35=4,"AA",IF(Q35=3,"A","SS-A"))))</f>
        <v>AAA</v>
      </c>
      <c r="BV35" s="310">
        <f>Q35-V35</f>
        <v>0</v>
      </c>
      <c r="BW35" s="310">
        <f>R35-W35</f>
        <v>0</v>
      </c>
      <c r="BX35" s="310">
        <f>S35-X35</f>
        <v>0</v>
      </c>
      <c r="BY35" s="310">
        <f>T35-Y35</f>
        <v>0</v>
      </c>
      <c r="BZ35" s="310">
        <f>U35-Z35</f>
        <v>0</v>
      </c>
      <c r="CA35" s="310">
        <f>SUM(BV35:BZ35)</f>
        <v>0</v>
      </c>
      <c r="CB35" s="310">
        <f>V35+X35+Y35</f>
        <v>15</v>
      </c>
      <c r="CC35" s="310">
        <f>V35+X35</f>
        <v>7</v>
      </c>
      <c r="CD35" s="310">
        <f>V35+Y35</f>
        <v>13</v>
      </c>
      <c r="CE35" s="310" t="str">
        <f>IF(J35&gt;24,"Now - Age",IF(Q35&gt;6,"Now",IF(V35&lt;6,"With Dev",MIN(V35-Q35,7-Q35))))</f>
        <v>Now - Age</v>
      </c>
      <c r="CF35" s="325" t="str">
        <f t="shared" si="3"/>
        <v/>
      </c>
      <c r="CG35" s="325" t="str">
        <f t="shared" si="5"/>
        <v>X</v>
      </c>
      <c r="CH35" s="325" t="str">
        <f t="shared" si="6"/>
        <v>X</v>
      </c>
      <c r="CI35" s="325" t="str">
        <f t="shared" si="7"/>
        <v/>
      </c>
      <c r="CJ35" s="325" t="str">
        <f t="shared" si="8"/>
        <v/>
      </c>
      <c r="CK35" s="325" t="str">
        <f t="shared" si="9"/>
        <v/>
      </c>
      <c r="CL35" s="325" t="str">
        <f t="shared" si="10"/>
        <v/>
      </c>
      <c r="CM35" s="325" t="str">
        <f t="shared" si="11"/>
        <v/>
      </c>
      <c r="CN35" s="325" t="str">
        <f t="shared" si="4"/>
        <v/>
      </c>
    </row>
    <row r="36" spans="1:92">
      <c r="A36" s="308" t="s">
        <v>213</v>
      </c>
      <c r="B36" s="309" t="s">
        <v>102</v>
      </c>
      <c r="C36" s="310">
        <f>IF(BH36=1,3,IF(BI36=1,4,IF(BF36=1,1,IF(BJ36=1,5,IF(BG36=1,2,IF(BK36=1,6,IF(BL36=1,7,IF(BM36=1,8,IF(BN36=1,9,"-")))))))))</f>
        <v>7</v>
      </c>
      <c r="D36" s="310" t="str">
        <f>IF(AY36=1,3,IF(AZ36=1,4,IF(AW36=1,1,IF(BA36=1,5,IF(AX36=1,2,IF(BB36=1,6,IF(BC36=1,7,IF(BD36=1,8,IF(BE36=1,9,"-")))))))))</f>
        <v>-</v>
      </c>
      <c r="E36" s="310" t="str">
        <f>IF(OR(OR(O36="Very High",O36="High"),AND(OR(O36="Very High",O36="High",O36="Normal"),OR(P36="Very High",P36="High"))),"K","T")</f>
        <v>K</v>
      </c>
      <c r="F36" s="310" t="s">
        <v>102</v>
      </c>
      <c r="G36" s="310" t="s">
        <v>396</v>
      </c>
      <c r="H36" s="310" t="s">
        <v>384</v>
      </c>
      <c r="I36" s="310" t="s">
        <v>213</v>
      </c>
      <c r="J36" s="310">
        <v>24</v>
      </c>
      <c r="K36" s="310" t="s">
        <v>107</v>
      </c>
      <c r="L36" s="310" t="s">
        <v>107</v>
      </c>
      <c r="M36" s="310" t="s">
        <v>47</v>
      </c>
      <c r="N36" s="311" t="s">
        <v>42</v>
      </c>
      <c r="O36" s="310" t="s">
        <v>229</v>
      </c>
      <c r="P36" s="311" t="s">
        <v>230</v>
      </c>
      <c r="Q36" s="310">
        <v>5</v>
      </c>
      <c r="R36" s="310">
        <v>4</v>
      </c>
      <c r="S36" s="310">
        <v>6</v>
      </c>
      <c r="T36" s="310">
        <v>4</v>
      </c>
      <c r="U36" s="311">
        <v>3</v>
      </c>
      <c r="V36" s="310">
        <v>5</v>
      </c>
      <c r="W36" s="310">
        <v>5</v>
      </c>
      <c r="X36" s="310">
        <v>8</v>
      </c>
      <c r="Y36" s="310">
        <v>6</v>
      </c>
      <c r="Z36" s="311">
        <v>4</v>
      </c>
      <c r="AA36" s="310">
        <v>1</v>
      </c>
      <c r="AB36" s="310">
        <v>8</v>
      </c>
      <c r="AC36" s="310">
        <v>1</v>
      </c>
      <c r="AD36" s="310" t="s">
        <v>41</v>
      </c>
      <c r="AE36" s="310" t="s">
        <v>41</v>
      </c>
      <c r="AF36" s="310" t="s">
        <v>41</v>
      </c>
      <c r="AG36" s="310" t="s">
        <v>41</v>
      </c>
      <c r="AH36" s="310" t="s">
        <v>41</v>
      </c>
      <c r="AI36" s="310">
        <v>10</v>
      </c>
      <c r="AJ36" s="310">
        <v>7</v>
      </c>
      <c r="AK36" s="311">
        <v>8</v>
      </c>
      <c r="AL36" s="310">
        <v>9</v>
      </c>
      <c r="AM36" s="310">
        <v>9</v>
      </c>
      <c r="AN36" s="311">
        <v>8</v>
      </c>
      <c r="AO36" s="312" t="s">
        <v>41</v>
      </c>
      <c r="AP36" s="311">
        <v>0</v>
      </c>
      <c r="AQ36" s="313">
        <f>AVERAGE(Q36,S36,T36)+IF(OR(Q36&gt;7,AND(Q36&gt;5,T36&gt;5)),0.5,0)+IF(S36&gt;7,0.25,0)+IF(Q36&lt;6,-0.5*(6-Q36),0)</f>
        <v>4.5</v>
      </c>
      <c r="AR36" s="314" t="str">
        <f>IF(AQ36&gt;9,"SuperStar",IF(AQ36&gt;8,"Star",IF(AQ36&gt;6.5,"GoodReg",IF(AQ36&gt;5,"Reg",IF(AQ36&gt;4,"Bench","Minors")))))</f>
        <v>Bench</v>
      </c>
      <c r="AS36" s="313">
        <f>AVERAGE(V36,X36,Y36)+IF(OR(V36&gt;7,AND(V36&gt;5,Y36&gt;5)),0.5,0)+IF(X36&gt;7,0.25,0)+IF(V36&lt;6,-0.5*(6-V36),0)</f>
        <v>6.083333333333333</v>
      </c>
      <c r="AT36" s="313" t="str">
        <f>IF(AS36&gt;9,"SuperStar",IF(AS36&gt;8,"Star",IF(AS36&gt;6.5,"GoodReg",IF(AS36&gt;5,"Reg",IF(AS36&gt;4,"Bench","Minors")))))</f>
        <v>Reg</v>
      </c>
      <c r="AU36" s="314">
        <f>MIN(AQ36+(MAX(0,25-J36))^1.5,AS36)</f>
        <v>5.5</v>
      </c>
      <c r="AV36" s="314" t="str">
        <f>IF(AU36&gt;9,"SuperStar",IF(AU36&gt;8,"Star",IF(AU36&gt;6.5,"GoodReg",IF(AU36&gt;5,"Reg",IF(AU36&gt;4,"Bench","Minors")))))</f>
        <v>Reg</v>
      </c>
      <c r="AW36" s="315">
        <f>IF(AND(OR(Q36+T36&gt;12,AND(Q36&gt;6,T36&gt;6)),AL36&gt;6,OR(AM36&gt;=AL36,AM36&gt;6)),1,0)</f>
        <v>0</v>
      </c>
      <c r="AX36" s="316">
        <f>IF(OR(AND(Q36&gt;6,U36&gt;6),Q36+T36&gt;12),1,0)</f>
        <v>0</v>
      </c>
      <c r="AY36" s="316">
        <f>IF(AND(Q36&gt;6,S36&gt;6,T36&gt;6),1,0)</f>
        <v>0</v>
      </c>
      <c r="AZ36" s="316">
        <f>IF(AND(S36&gt;7,OR(Q36&gt;6,T36&gt;6)),1,0)</f>
        <v>0</v>
      </c>
      <c r="BA36" s="316">
        <f>IF(AND(S36&gt;6,OR(Q36&gt;6,T36&gt;6)),1,0)</f>
        <v>0</v>
      </c>
      <c r="BB36" s="316">
        <f>IF(AND(OR(Q36&gt;6,S36&gt;6),OR(Q36&gt;6,T36&gt;6)),1,0)</f>
        <v>0</v>
      </c>
      <c r="BC36" s="316">
        <f>IF(AND(Q36&gt;4,OR(Q36&gt;6,S36&gt;6,T36&gt;6)),1,0)</f>
        <v>0</v>
      </c>
      <c r="BD36" s="316">
        <f>IF(AND(Q36&gt;4,OR(Q36&gt;6,R36&gt;6,S36&gt;6,T36&gt;6)),1,0)</f>
        <v>0</v>
      </c>
      <c r="BE36" s="311">
        <f>IF(AND(Q36&gt;4,MAX(Q36:U36)&gt;6),1,0)</f>
        <v>0</v>
      </c>
      <c r="BF36" s="315">
        <f>IF(AND(OR(V36+Y36&gt;12,AND(V36&gt;6,Y36&gt;6)),AL36&gt;6,OR(AM36&gt;=AL36,AM36&gt;6)),1,0)</f>
        <v>0</v>
      </c>
      <c r="BG36" s="316">
        <f>IF(OR(AND(V36&gt;6,Z36&gt;6),V36+Y36&gt;12),1,0)</f>
        <v>0</v>
      </c>
      <c r="BH36" s="316">
        <f>IF(AND(V36&gt;6,X36&gt;6,Y36&gt;6),1,0)</f>
        <v>0</v>
      </c>
      <c r="BI36" s="316">
        <f>IF(AND(X36&gt;7,OR(V36&gt;6,Y36&gt;6)),1,0)</f>
        <v>0</v>
      </c>
      <c r="BJ36" s="316">
        <f>IF(AND(X36&gt;6,OR(V36&gt;6,Y36&gt;6)),1,0)</f>
        <v>0</v>
      </c>
      <c r="BK36" s="316">
        <f>IF(AND(OR(V36&gt;6,X36&gt;6),OR(V36&gt;6,Y36&gt;6)),1,0)</f>
        <v>0</v>
      </c>
      <c r="BL36" s="316">
        <f>IF(AND(V36&gt;4,OR(V36&gt;6,X36&gt;6,Y36&gt;6)),1,0)</f>
        <v>1</v>
      </c>
      <c r="BM36" s="316">
        <f>IF(AND(V36&gt;4,OR(V36&gt;6,W36&gt;6,X36&gt;6,Y36&gt;6)),1,0)</f>
        <v>1</v>
      </c>
      <c r="BN36" s="311">
        <f>IF(AND(V36&gt;4,MAX(V36:Z36)&gt;6),1,0)</f>
        <v>1</v>
      </c>
      <c r="BO36" s="311">
        <f>IF(AVERAGE(AL36:AM36)&gt;9,1,0)+IF(AVERAGE(AL36:AM36)&gt;7,1,0)+IF(AL36&gt;7,1,0)+IF(AM36&gt;7,1,0)+IF(AN36&gt;8,1,0)+IF(AN36&gt;6,1,0)</f>
        <v>4</v>
      </c>
      <c r="BP36" s="317">
        <f>IF(OR(MAX(AD36,AE36,AI36,AK36)&gt;6,MAX(AF36,AG36,AH36,AJ36)&gt;7),2,IF(MAX(AD36:AK36)&gt;4,1,0))</f>
        <v>2</v>
      </c>
      <c r="BQ36" s="310" t="str">
        <f>IF(AP36=1,"Yes","")</f>
        <v/>
      </c>
      <c r="BR36" s="309" t="str">
        <f>IF($A36="ML","There",IF(AND($V36&gt;=6,AVERAGE($X36:$Y36)&gt;=6),"Likely",IF(OR($V36&gt;6,AND($V36=6,AVERAGE($X36:$Y36)&gt;=3),AND($V36&gt;=5,AVERAGE($X36:$Y36)&gt;=5),AVERAGE($V36,$X36:$Y36)&gt;5),"Possible","Unlikely")))</f>
        <v>Possible</v>
      </c>
      <c r="BS36" s="310" t="str">
        <f>IF(OR(AND(Q36&gt;=6,S36+T36&gt;=12),Q36&gt;7),"Start",IF(AND(Q36&gt;=5,S36+T36&gt;=8),"Bench","aack!"))</f>
        <v>Bench</v>
      </c>
      <c r="BT36" s="310" t="str">
        <f>IF(OR(AND(V36&gt;=6,X36+Y36&gt;=12),V36&gt;7),"Start",IF(AND(V36&gt;=5,X36+Y36&gt;=8),"Bench","aack!"))</f>
        <v>Bench</v>
      </c>
      <c r="BU36" s="310" t="str">
        <f>IF(Q36&gt;5,"ML",IF(Q36=5,"AAA",IF(Q36=4,"AA",IF(Q36=3,"A","SS-A"))))</f>
        <v>AAA</v>
      </c>
      <c r="BV36" s="310">
        <f>Q36-V36</f>
        <v>0</v>
      </c>
      <c r="BW36" s="310">
        <f>R36-W36</f>
        <v>-1</v>
      </c>
      <c r="BX36" s="310">
        <f>S36-X36</f>
        <v>-2</v>
      </c>
      <c r="BY36" s="310">
        <f>T36-Y36</f>
        <v>-2</v>
      </c>
      <c r="BZ36" s="310">
        <f>U36-Z36</f>
        <v>-1</v>
      </c>
      <c r="CA36" s="310">
        <f>SUM(BV36:BZ36)</f>
        <v>-6</v>
      </c>
      <c r="CB36" s="310">
        <f>V36+X36+Y36</f>
        <v>19</v>
      </c>
      <c r="CC36" s="310">
        <f>V36+X36</f>
        <v>13</v>
      </c>
      <c r="CD36" s="310">
        <f>V36+Y36</f>
        <v>11</v>
      </c>
      <c r="CE36" s="310" t="str">
        <f>IF(J36&gt;24,"Now - Age",IF(Q36&gt;6,"Now",IF(V36&lt;6,"With Dev",MIN(V36-Q36,7-Q36))))</f>
        <v>With Dev</v>
      </c>
      <c r="CF36" s="325" t="str">
        <f t="shared" si="3"/>
        <v/>
      </c>
      <c r="CG36" s="325" t="str">
        <f t="shared" si="5"/>
        <v/>
      </c>
      <c r="CH36" s="325" t="str">
        <f t="shared" si="6"/>
        <v/>
      </c>
      <c r="CI36" s="325" t="str">
        <f t="shared" si="7"/>
        <v/>
      </c>
      <c r="CJ36" s="325" t="str">
        <f t="shared" si="8"/>
        <v/>
      </c>
      <c r="CK36" s="325" t="str">
        <f t="shared" si="9"/>
        <v>X</v>
      </c>
      <c r="CL36" s="325" t="str">
        <f t="shared" si="10"/>
        <v>X</v>
      </c>
      <c r="CM36" s="325" t="str">
        <f t="shared" si="11"/>
        <v>X</v>
      </c>
      <c r="CN36" s="325" t="str">
        <f t="shared" si="4"/>
        <v/>
      </c>
    </row>
    <row r="37" spans="1:92">
      <c r="A37" s="308" t="s">
        <v>213</v>
      </c>
      <c r="B37" s="309" t="s">
        <v>552</v>
      </c>
      <c r="C37" s="310">
        <f>IF(BH37=1,3,IF(BI37=1,4,IF(BF37=1,1,IF(BJ37=1,5,IF(BG37=1,2,IF(BK37=1,6,IF(BL37=1,7,IF(BM37=1,8,IF(BN37=1,9,"-")))))))))</f>
        <v>2</v>
      </c>
      <c r="D37" s="310">
        <f>IF(AY37=1,3,IF(AZ37=1,4,IF(AW37=1,1,IF(BA37=1,5,IF(AX37=1,2,IF(BB37=1,6,IF(BC37=1,7,IF(BD37=1,8,IF(BE37=1,9,"-")))))))))</f>
        <v>2</v>
      </c>
      <c r="E37" s="310" t="str">
        <f>IF(OR(OR(O37="Very High",O37="High"),AND(OR(O37="Very High",O37="High",O37="Normal"),OR(P37="Very High",P37="High"))),"K","T")</f>
        <v>K</v>
      </c>
      <c r="F37" s="310" t="s">
        <v>102</v>
      </c>
      <c r="G37" s="310" t="s">
        <v>566</v>
      </c>
      <c r="H37" s="310" t="s">
        <v>384</v>
      </c>
      <c r="I37" s="310" t="s">
        <v>213</v>
      </c>
      <c r="J37" s="310">
        <v>31</v>
      </c>
      <c r="K37" s="310" t="s">
        <v>106</v>
      </c>
      <c r="L37" s="310" t="s">
        <v>106</v>
      </c>
      <c r="M37" s="310" t="s">
        <v>47</v>
      </c>
      <c r="N37" s="311" t="s">
        <v>47</v>
      </c>
      <c r="O37" s="310" t="s">
        <v>229</v>
      </c>
      <c r="P37" s="311" t="s">
        <v>229</v>
      </c>
      <c r="Q37" s="310">
        <v>7</v>
      </c>
      <c r="R37" s="310">
        <v>5</v>
      </c>
      <c r="S37" s="310">
        <v>1</v>
      </c>
      <c r="T37" s="310">
        <v>5</v>
      </c>
      <c r="U37" s="311">
        <v>10</v>
      </c>
      <c r="V37" s="310">
        <v>7</v>
      </c>
      <c r="W37" s="310">
        <v>5</v>
      </c>
      <c r="X37" s="310">
        <v>1</v>
      </c>
      <c r="Y37" s="310">
        <v>5</v>
      </c>
      <c r="Z37" s="311">
        <v>10</v>
      </c>
      <c r="AA37" s="310">
        <v>1</v>
      </c>
      <c r="AB37" s="310">
        <v>5</v>
      </c>
      <c r="AC37" s="310">
        <v>1</v>
      </c>
      <c r="AD37" s="310" t="s">
        <v>41</v>
      </c>
      <c r="AE37" s="310" t="s">
        <v>41</v>
      </c>
      <c r="AF37" s="310" t="s">
        <v>41</v>
      </c>
      <c r="AG37" s="310" t="s">
        <v>41</v>
      </c>
      <c r="AH37" s="310" t="s">
        <v>41</v>
      </c>
      <c r="AI37" s="310">
        <v>7</v>
      </c>
      <c r="AJ37" s="310">
        <v>8</v>
      </c>
      <c r="AK37" s="311">
        <v>10</v>
      </c>
      <c r="AL37" s="310">
        <v>9</v>
      </c>
      <c r="AM37" s="310">
        <v>10</v>
      </c>
      <c r="AN37" s="311">
        <v>10</v>
      </c>
      <c r="AO37" s="312" t="s">
        <v>41</v>
      </c>
      <c r="AP37" s="311" t="s">
        <v>46</v>
      </c>
      <c r="AQ37" s="313">
        <f>AVERAGE(Q37,S37,T37)+IF(OR(Q37&gt;7,AND(Q37&gt;5,T37&gt;5)),0.5,0)+IF(S37&gt;7,0.25,0)+IF(Q37&lt;6,-0.5*(6-Q37),0)</f>
        <v>4.333333333333333</v>
      </c>
      <c r="AR37" s="314" t="str">
        <f>IF(AQ37&gt;9,"SuperStar",IF(AQ37&gt;8,"Star",IF(AQ37&gt;6.5,"GoodReg",IF(AQ37&gt;5,"Reg",IF(AQ37&gt;4,"Bench","Minors")))))</f>
        <v>Bench</v>
      </c>
      <c r="AS37" s="313">
        <f>AVERAGE(V37,X37,Y37)+IF(OR(V37&gt;7,AND(V37&gt;5,Y37&gt;5)),0.5,0)+IF(X37&gt;7,0.25,0)+IF(V37&lt;6,-0.5*(6-V37),0)</f>
        <v>4.333333333333333</v>
      </c>
      <c r="AT37" s="313" t="str">
        <f>IF(AS37&gt;9,"SuperStar",IF(AS37&gt;8,"Star",IF(AS37&gt;6.5,"GoodReg",IF(AS37&gt;5,"Reg",IF(AS37&gt;4,"Bench","Minors")))))</f>
        <v>Bench</v>
      </c>
      <c r="AU37" s="314">
        <f>MIN(AQ37+(MAX(0,25-J37))^1.5,AS37)</f>
        <v>4.333333333333333</v>
      </c>
      <c r="AV37" s="314" t="str">
        <f>IF(AU37&gt;9,"SuperStar",IF(AU37&gt;8,"Star",IF(AU37&gt;6.5,"GoodReg",IF(AU37&gt;5,"Reg",IF(AU37&gt;4,"Bench","Minors")))))</f>
        <v>Bench</v>
      </c>
      <c r="AW37" s="315">
        <f>IF(AND(OR(Q37+T37&gt;12,AND(Q37&gt;6,T37&gt;6)),AL37&gt;6,OR(AM37&gt;=AL37,AM37&gt;6)),1,0)</f>
        <v>0</v>
      </c>
      <c r="AX37" s="316">
        <f>IF(OR(AND(Q37&gt;6,U37&gt;6),Q37+T37&gt;12),1,0)</f>
        <v>1</v>
      </c>
      <c r="AY37" s="316">
        <f>IF(AND(Q37&gt;6,S37&gt;6,T37&gt;6),1,0)</f>
        <v>0</v>
      </c>
      <c r="AZ37" s="316">
        <f>IF(AND(S37&gt;7,OR(Q37&gt;6,T37&gt;6)),1,0)</f>
        <v>0</v>
      </c>
      <c r="BA37" s="316">
        <f>IF(AND(S37&gt;6,OR(Q37&gt;6,T37&gt;6)),1,0)</f>
        <v>0</v>
      </c>
      <c r="BB37" s="316">
        <f>IF(AND(OR(Q37&gt;6,S37&gt;6),OR(Q37&gt;6,T37&gt;6)),1,0)</f>
        <v>1</v>
      </c>
      <c r="BC37" s="316">
        <f>IF(AND(Q37&gt;4,OR(Q37&gt;6,S37&gt;6,T37&gt;6)),1,0)</f>
        <v>1</v>
      </c>
      <c r="BD37" s="316">
        <f>IF(AND(Q37&gt;4,OR(Q37&gt;6,R37&gt;6,S37&gt;6,T37&gt;6)),1,0)</f>
        <v>1</v>
      </c>
      <c r="BE37" s="311">
        <f>IF(AND(Q37&gt;4,MAX(Q37:U37)&gt;6),1,0)</f>
        <v>1</v>
      </c>
      <c r="BF37" s="315">
        <f>IF(AND(OR(V37+Y37&gt;12,AND(V37&gt;6,Y37&gt;6)),AL37&gt;6,OR(AM37&gt;=AL37,AM37&gt;6)),1,0)</f>
        <v>0</v>
      </c>
      <c r="BG37" s="316">
        <f>IF(OR(AND(V37&gt;6,Z37&gt;6),V37+Y37&gt;12),1,0)</f>
        <v>1</v>
      </c>
      <c r="BH37" s="316">
        <f>IF(AND(V37&gt;6,X37&gt;6,Y37&gt;6),1,0)</f>
        <v>0</v>
      </c>
      <c r="BI37" s="316">
        <f>IF(AND(X37&gt;7,OR(V37&gt;6,Y37&gt;6)),1,0)</f>
        <v>0</v>
      </c>
      <c r="BJ37" s="316">
        <f>IF(AND(X37&gt;6,OR(V37&gt;6,Y37&gt;6)),1,0)</f>
        <v>0</v>
      </c>
      <c r="BK37" s="316">
        <f>IF(AND(OR(V37&gt;6,X37&gt;6),OR(V37&gt;6,Y37&gt;6)),1,0)</f>
        <v>1</v>
      </c>
      <c r="BL37" s="316">
        <f>IF(AND(V37&gt;4,OR(V37&gt;6,X37&gt;6,Y37&gt;6)),1,0)</f>
        <v>1</v>
      </c>
      <c r="BM37" s="316">
        <f>IF(AND(V37&gt;4,OR(V37&gt;6,W37&gt;6,X37&gt;6,Y37&gt;6)),1,0)</f>
        <v>1</v>
      </c>
      <c r="BN37" s="311">
        <f>IF(AND(V37&gt;4,MAX(V37:Z37)&gt;6),1,0)</f>
        <v>1</v>
      </c>
      <c r="BO37" s="311">
        <f>IF(AVERAGE(AL37:AM37)&gt;9,1,0)+IF(AVERAGE(AL37:AM37)&gt;7,1,0)+IF(AL37&gt;7,1,0)+IF(AM37&gt;7,1,0)+IF(AN37&gt;8,1,0)+IF(AN37&gt;6,1,0)</f>
        <v>6</v>
      </c>
      <c r="BP37" s="317">
        <f>IF(OR(MAX(AD37,AE37,AI37,AK37)&gt;6,MAX(AF37,AG37,AH37,AJ37)&gt;7),2,IF(MAX(AD37:AK37)&gt;4,1,0))</f>
        <v>2</v>
      </c>
      <c r="BQ37" s="310" t="str">
        <f>IF(AP37=1,"Yes","")</f>
        <v/>
      </c>
      <c r="BR37" s="309" t="str">
        <f>IF($A37="ML","There",IF(AND($V37&gt;=6,AVERAGE($X37:$Y37)&gt;=6),"Likely",IF(OR($V37&gt;6,AND($V37=6,AVERAGE($X37:$Y37)&gt;=3),AND($V37&gt;=5,AVERAGE($X37:$Y37)&gt;=5),AVERAGE($V37,$X37:$Y37)&gt;5),"Possible","Unlikely")))</f>
        <v>Possible</v>
      </c>
      <c r="BS37" s="310" t="str">
        <f>IF(OR(AND(Q37&gt;=6,S37+T37&gt;=12),Q37&gt;7),"Start",IF(AND(Q37&gt;=5,S37+T37&gt;=8),"Bench","aack!"))</f>
        <v>aack!</v>
      </c>
      <c r="BT37" s="310" t="str">
        <f>IF(OR(AND(V37&gt;=6,X37+Y37&gt;=12),V37&gt;7),"Start",IF(AND(V37&gt;=5,X37+Y37&gt;=8),"Bench","aack!"))</f>
        <v>aack!</v>
      </c>
      <c r="BU37" s="310" t="str">
        <f>IF(Q37&gt;5,"ML",IF(Q37=5,"AAA",IF(Q37=4,"AA",IF(Q37=3,"A","SS-A"))))</f>
        <v>ML</v>
      </c>
      <c r="BV37" s="310">
        <f>Q37-V37</f>
        <v>0</v>
      </c>
      <c r="BW37" s="310">
        <f>R37-W37</f>
        <v>0</v>
      </c>
      <c r="BX37" s="310">
        <f>S37-X37</f>
        <v>0</v>
      </c>
      <c r="BY37" s="310">
        <f>T37-Y37</f>
        <v>0</v>
      </c>
      <c r="BZ37" s="310">
        <f>U37-Z37</f>
        <v>0</v>
      </c>
      <c r="CA37" s="310">
        <f>SUM(BV37:BZ37)</f>
        <v>0</v>
      </c>
      <c r="CB37" s="310">
        <f>V37+X37+Y37</f>
        <v>13</v>
      </c>
      <c r="CC37" s="310">
        <f>V37+X37</f>
        <v>8</v>
      </c>
      <c r="CD37" s="310">
        <f>V37+Y37</f>
        <v>12</v>
      </c>
      <c r="CE37" s="310" t="str">
        <f>IF(J37&gt;24,"Now - Age",IF(Q37&gt;6,"Now",IF(V37&lt;6,"With Dev",MIN(V37-Q37,7-Q37))))</f>
        <v>Now - Age</v>
      </c>
      <c r="CF37" s="325" t="str">
        <f t="shared" si="3"/>
        <v/>
      </c>
      <c r="CG37" s="325" t="str">
        <f t="shared" si="5"/>
        <v/>
      </c>
      <c r="CH37" s="325" t="str">
        <f t="shared" si="6"/>
        <v/>
      </c>
      <c r="CI37" s="325" t="str">
        <f t="shared" si="7"/>
        <v/>
      </c>
      <c r="CJ37" s="325" t="str">
        <f t="shared" si="8"/>
        <v/>
      </c>
      <c r="CK37" s="325" t="str">
        <f t="shared" si="9"/>
        <v>X</v>
      </c>
      <c r="CL37" s="325" t="str">
        <f t="shared" si="10"/>
        <v>X</v>
      </c>
      <c r="CM37" s="325" t="str">
        <f t="shared" si="11"/>
        <v/>
      </c>
      <c r="CN37" s="325" t="str">
        <f t="shared" si="4"/>
        <v/>
      </c>
    </row>
    <row r="38" spans="1:92">
      <c r="A38" s="308" t="s">
        <v>214</v>
      </c>
      <c r="B38" s="309" t="s">
        <v>18</v>
      </c>
      <c r="C38" s="310">
        <f>IF(BH38=1,3,IF(BI38=1,4,IF(BF38=1,1,IF(BJ38=1,5,IF(BG38=1,2,IF(BK38=1,6,IF(BL38=1,7,IF(BM38=1,8,IF(BN38=1,9,"-")))))))))</f>
        <v>2</v>
      </c>
      <c r="D38" s="310">
        <f>IF(AY38=1,3,IF(AZ38=1,4,IF(AW38=1,1,IF(BA38=1,5,IF(AX38=1,2,IF(BB38=1,6,IF(BC38=1,7,IF(BD38=1,8,IF(BE38=1,9,"-")))))))))</f>
        <v>2</v>
      </c>
      <c r="E38" s="310" t="str">
        <f>IF(OR(OR(O38="Very High",O38="High"),AND(OR(O38="Very High",O38="High",O38="Normal"),OR(P38="Very High",P38="High"))),"K","T")</f>
        <v>T</v>
      </c>
      <c r="F38" s="310" t="s">
        <v>101</v>
      </c>
      <c r="G38" s="310" t="s">
        <v>571</v>
      </c>
      <c r="H38" s="310" t="s">
        <v>384</v>
      </c>
      <c r="I38" s="310" t="s">
        <v>213</v>
      </c>
      <c r="J38" s="310">
        <v>29</v>
      </c>
      <c r="K38" s="310" t="s">
        <v>107</v>
      </c>
      <c r="L38" s="310" t="s">
        <v>107</v>
      </c>
      <c r="M38" s="310" t="s">
        <v>47</v>
      </c>
      <c r="N38" s="311" t="s">
        <v>42</v>
      </c>
      <c r="O38" s="310" t="s">
        <v>231</v>
      </c>
      <c r="P38" s="311" t="s">
        <v>228</v>
      </c>
      <c r="Q38" s="310">
        <v>6</v>
      </c>
      <c r="R38" s="310">
        <v>9</v>
      </c>
      <c r="S38" s="310">
        <v>6</v>
      </c>
      <c r="T38" s="310">
        <v>7</v>
      </c>
      <c r="U38" s="311">
        <v>4</v>
      </c>
      <c r="V38" s="310">
        <v>6</v>
      </c>
      <c r="W38" s="310">
        <v>9</v>
      </c>
      <c r="X38" s="310">
        <v>6</v>
      </c>
      <c r="Y38" s="310">
        <v>7</v>
      </c>
      <c r="Z38" s="311">
        <v>4</v>
      </c>
      <c r="AA38" s="310">
        <v>1</v>
      </c>
      <c r="AB38" s="310">
        <v>6</v>
      </c>
      <c r="AC38" s="310">
        <v>1</v>
      </c>
      <c r="AD38" s="310" t="s">
        <v>41</v>
      </c>
      <c r="AE38" s="310" t="s">
        <v>41</v>
      </c>
      <c r="AF38" s="310" t="s">
        <v>41</v>
      </c>
      <c r="AG38" s="310" t="s">
        <v>41</v>
      </c>
      <c r="AH38" s="310" t="s">
        <v>41</v>
      </c>
      <c r="AI38" s="310">
        <v>5</v>
      </c>
      <c r="AJ38" s="310" t="s">
        <v>41</v>
      </c>
      <c r="AK38" s="311">
        <v>4</v>
      </c>
      <c r="AL38" s="310">
        <v>4</v>
      </c>
      <c r="AM38" s="310">
        <v>5</v>
      </c>
      <c r="AN38" s="311">
        <v>5</v>
      </c>
      <c r="AO38" s="312" t="s">
        <v>41</v>
      </c>
      <c r="AP38" s="311" t="s">
        <v>45</v>
      </c>
      <c r="AQ38" s="313">
        <f>AVERAGE(Q38,S38,T38)+IF(OR(Q38&gt;7,AND(Q38&gt;5,T38&gt;5)),0.5,0)+IF(S38&gt;7,0.25,0)+IF(Q38&lt;6,-0.5*(6-Q38),0)</f>
        <v>6.833333333333333</v>
      </c>
      <c r="AR38" s="314" t="str">
        <f>IF(AQ38&gt;9,"SuperStar",IF(AQ38&gt;8,"Star",IF(AQ38&gt;6.5,"GoodReg",IF(AQ38&gt;5,"Reg",IF(AQ38&gt;4,"Bench","Minors")))))</f>
        <v>GoodReg</v>
      </c>
      <c r="AS38" s="313">
        <f>AVERAGE(V38,X38,Y38)+IF(OR(V38&gt;7,AND(V38&gt;5,Y38&gt;5)),0.5,0)+IF(X38&gt;7,0.25,0)+IF(V38&lt;6,-0.5*(6-V38),0)</f>
        <v>6.833333333333333</v>
      </c>
      <c r="AT38" s="313" t="str">
        <f>IF(AS38&gt;9,"SuperStar",IF(AS38&gt;8,"Star",IF(AS38&gt;6.5,"GoodReg",IF(AS38&gt;5,"Reg",IF(AS38&gt;4,"Bench","Minors")))))</f>
        <v>GoodReg</v>
      </c>
      <c r="AU38" s="314">
        <f>MIN(AQ38+(MAX(0,25-J38))^1.5,AS38)</f>
        <v>6.833333333333333</v>
      </c>
      <c r="AV38" s="314" t="str">
        <f>IF(AU38&gt;9,"SuperStar",IF(AU38&gt;8,"Star",IF(AU38&gt;6.5,"GoodReg",IF(AU38&gt;5,"Reg",IF(AU38&gt;4,"Bench","Minors")))))</f>
        <v>GoodReg</v>
      </c>
      <c r="AW38" s="315">
        <f>IF(AND(OR(Q38+T38&gt;12,AND(Q38&gt;6,T38&gt;6)),AL38&gt;6,OR(AM38&gt;=AL38,AM38&gt;6)),1,0)</f>
        <v>0</v>
      </c>
      <c r="AX38" s="316">
        <f>IF(OR(AND(Q38&gt;6,U38&gt;6),Q38+T38&gt;12),1,0)</f>
        <v>1</v>
      </c>
      <c r="AY38" s="316">
        <f>IF(AND(Q38&gt;6,S38&gt;6,T38&gt;6),1,0)</f>
        <v>0</v>
      </c>
      <c r="AZ38" s="316">
        <f>IF(AND(S38&gt;7,OR(Q38&gt;6,T38&gt;6)),1,0)</f>
        <v>0</v>
      </c>
      <c r="BA38" s="316">
        <f>IF(AND(S38&gt;6,OR(Q38&gt;6,T38&gt;6)),1,0)</f>
        <v>0</v>
      </c>
      <c r="BB38" s="316">
        <f>IF(AND(OR(Q38&gt;6,S38&gt;6),OR(Q38&gt;6,T38&gt;6)),1,0)</f>
        <v>0</v>
      </c>
      <c r="BC38" s="316">
        <f>IF(AND(Q38&gt;4,OR(Q38&gt;6,S38&gt;6,T38&gt;6)),1,0)</f>
        <v>1</v>
      </c>
      <c r="BD38" s="316">
        <f>IF(AND(Q38&gt;4,OR(Q38&gt;6,R38&gt;6,S38&gt;6,T38&gt;6)),1,0)</f>
        <v>1</v>
      </c>
      <c r="BE38" s="311">
        <f>IF(AND(Q38&gt;4,MAX(Q38:U38)&gt;6),1,0)</f>
        <v>1</v>
      </c>
      <c r="BF38" s="315">
        <f>IF(AND(OR(V38+Y38&gt;12,AND(V38&gt;6,Y38&gt;6)),AL38&gt;6,OR(AM38&gt;=AL38,AM38&gt;6)),1,0)</f>
        <v>0</v>
      </c>
      <c r="BG38" s="316">
        <f>IF(OR(AND(V38&gt;6,Z38&gt;6),V38+Y38&gt;12),1,0)</f>
        <v>1</v>
      </c>
      <c r="BH38" s="316">
        <f>IF(AND(V38&gt;6,X38&gt;6,Y38&gt;6),1,0)</f>
        <v>0</v>
      </c>
      <c r="BI38" s="316">
        <f>IF(AND(X38&gt;7,OR(V38&gt;6,Y38&gt;6)),1,0)</f>
        <v>0</v>
      </c>
      <c r="BJ38" s="316">
        <f>IF(AND(X38&gt;6,OR(V38&gt;6,Y38&gt;6)),1,0)</f>
        <v>0</v>
      </c>
      <c r="BK38" s="316">
        <f>IF(AND(OR(V38&gt;6,X38&gt;6),OR(V38&gt;6,Y38&gt;6)),1,0)</f>
        <v>0</v>
      </c>
      <c r="BL38" s="316">
        <f>IF(AND(V38&gt;4,OR(V38&gt;6,X38&gt;6,Y38&gt;6)),1,0)</f>
        <v>1</v>
      </c>
      <c r="BM38" s="316">
        <f>IF(AND(V38&gt;4,OR(V38&gt;6,W38&gt;6,X38&gt;6,Y38&gt;6)),1,0)</f>
        <v>1</v>
      </c>
      <c r="BN38" s="311">
        <f>IF(AND(V38&gt;4,MAX(V38:Z38)&gt;6),1,0)</f>
        <v>1</v>
      </c>
      <c r="BO38" s="311">
        <f>IF(AVERAGE(AL38:AM38)&gt;9,1,0)+IF(AVERAGE(AL38:AM38)&gt;7,1,0)+IF(AL38&gt;7,1,0)+IF(AM38&gt;7,1,0)+IF(AN38&gt;8,1,0)+IF(AN38&gt;6,1,0)</f>
        <v>0</v>
      </c>
      <c r="BP38" s="317">
        <f>IF(OR(MAX(AD38,AE38,AI38,AK38)&gt;6,MAX(AF38,AG38,AH38,AJ38)&gt;7),2,IF(MAX(AD38:AK38)&gt;4,1,0))</f>
        <v>1</v>
      </c>
      <c r="BQ38" s="310" t="str">
        <f>IF(AP38=1,"Yes","")</f>
        <v/>
      </c>
      <c r="BR38" s="309" t="str">
        <f>IF($A38="ML","There",IF(AND($V38&gt;=6,AVERAGE($X38:$Y38)&gt;=6),"Likely",IF(OR($V38&gt;6,AND($V38=6,AVERAGE($X38:$Y38)&gt;=3),AND($V38&gt;=5,AVERAGE($X38:$Y38)&gt;=5),AVERAGE($V38,$X38:$Y38)&gt;5),"Possible","Unlikely")))</f>
        <v>Likely</v>
      </c>
      <c r="BS38" s="310" t="str">
        <f>IF(OR(AND(Q38&gt;=6,S38+T38&gt;=12),Q38&gt;7),"Start",IF(AND(Q38&gt;=5,S38+T38&gt;=8),"Bench","aack!"))</f>
        <v>Start</v>
      </c>
      <c r="BT38" s="310" t="str">
        <f>IF(OR(AND(V38&gt;=6,X38+Y38&gt;=12),V38&gt;7),"Start",IF(AND(V38&gt;=5,X38+Y38&gt;=8),"Bench","aack!"))</f>
        <v>Start</v>
      </c>
      <c r="BU38" s="310" t="str">
        <f>IF(Q38&gt;5,"ML",IF(Q38=5,"AAA",IF(Q38=4,"AA",IF(Q38=3,"A","SS-A"))))</f>
        <v>ML</v>
      </c>
      <c r="BV38" s="310">
        <f>Q38-V38</f>
        <v>0</v>
      </c>
      <c r="BW38" s="310">
        <f>R38-W38</f>
        <v>0</v>
      </c>
      <c r="BX38" s="310">
        <f>S38-X38</f>
        <v>0</v>
      </c>
      <c r="BY38" s="310">
        <f>T38-Y38</f>
        <v>0</v>
      </c>
      <c r="BZ38" s="310">
        <f>U38-Z38</f>
        <v>0</v>
      </c>
      <c r="CA38" s="310">
        <f>SUM(BV38:BZ38)</f>
        <v>0</v>
      </c>
      <c r="CB38" s="310">
        <f>V38+X38+Y38</f>
        <v>19</v>
      </c>
      <c r="CC38" s="310">
        <f>V38+X38</f>
        <v>12</v>
      </c>
      <c r="CD38" s="310">
        <f>V38+Y38</f>
        <v>13</v>
      </c>
      <c r="CE38" s="310" t="str">
        <f>IF(J38&gt;24,"Now - Age",IF(Q38&gt;6,"Now",IF(V38&lt;6,"With Dev",MIN(V38-Q38,7-Q38))))</f>
        <v>Now - Age</v>
      </c>
      <c r="CF38" s="325" t="str">
        <f>IF(AD38&lt;&gt;"-","X","")</f>
        <v/>
      </c>
      <c r="CG38" s="325" t="str">
        <f t="shared" si="5"/>
        <v/>
      </c>
      <c r="CH38" s="325" t="str">
        <f t="shared" si="6"/>
        <v/>
      </c>
      <c r="CI38" s="325" t="str">
        <f t="shared" si="7"/>
        <v/>
      </c>
      <c r="CJ38" s="325" t="str">
        <f t="shared" si="8"/>
        <v/>
      </c>
      <c r="CK38" s="325" t="str">
        <f t="shared" si="9"/>
        <v>X</v>
      </c>
      <c r="CL38" s="325" t="str">
        <f t="shared" si="10"/>
        <v/>
      </c>
      <c r="CM38" s="325" t="str">
        <f t="shared" si="11"/>
        <v/>
      </c>
      <c r="CN38" s="325" t="str">
        <f t="shared" si="4"/>
        <v/>
      </c>
    </row>
    <row r="39" spans="1:92">
      <c r="A39" s="308" t="s">
        <v>214</v>
      </c>
      <c r="B39" s="309" t="s">
        <v>582</v>
      </c>
      <c r="C39" s="310">
        <f>IF(BH39=1,3,IF(BI39=1,4,IF(BF39=1,1,IF(BJ39=1,5,IF(BG39=1,2,IF(BK39=1,6,IF(BL39=1,7,IF(BM39=1,8,IF(BN39=1,9,"-")))))))))</f>
        <v>7</v>
      </c>
      <c r="D39" s="310">
        <f>IF(AY39=1,3,IF(AZ39=1,4,IF(AW39=1,1,IF(BA39=1,5,IF(AX39=1,2,IF(BB39=1,6,IF(BC39=1,7,IF(BD39=1,8,IF(BE39=1,9,"-")))))))))</f>
        <v>7</v>
      </c>
      <c r="E39" s="310" t="str">
        <f>IF(OR(OR(O39="Very High",O39="High"),AND(OR(O39="Very High",O39="High",O39="Normal"),OR(P39="Very High",P39="High"))),"K","T")</f>
        <v>K</v>
      </c>
      <c r="F39" s="310" t="s">
        <v>97</v>
      </c>
      <c r="G39" s="310" t="s">
        <v>567</v>
      </c>
      <c r="H39" s="310" t="s">
        <v>385</v>
      </c>
      <c r="I39" s="310" t="s">
        <v>214</v>
      </c>
      <c r="J39" s="310">
        <v>29</v>
      </c>
      <c r="K39" s="310" t="s">
        <v>107</v>
      </c>
      <c r="L39" s="310" t="s">
        <v>107</v>
      </c>
      <c r="M39" s="310" t="s">
        <v>47</v>
      </c>
      <c r="N39" s="311" t="s">
        <v>47</v>
      </c>
      <c r="O39" s="310" t="s">
        <v>229</v>
      </c>
      <c r="P39" s="311" t="s">
        <v>231</v>
      </c>
      <c r="Q39" s="310">
        <v>5</v>
      </c>
      <c r="R39" s="310">
        <v>7</v>
      </c>
      <c r="S39" s="310">
        <v>7</v>
      </c>
      <c r="T39" s="310">
        <v>6</v>
      </c>
      <c r="U39" s="311">
        <v>3</v>
      </c>
      <c r="V39" s="310">
        <v>5</v>
      </c>
      <c r="W39" s="310">
        <v>7</v>
      </c>
      <c r="X39" s="310">
        <v>7</v>
      </c>
      <c r="Y39" s="310">
        <v>6</v>
      </c>
      <c r="Z39" s="311">
        <v>3</v>
      </c>
      <c r="AA39" s="310">
        <v>7</v>
      </c>
      <c r="AB39" s="310">
        <v>1</v>
      </c>
      <c r="AC39" s="310">
        <v>1</v>
      </c>
      <c r="AD39" s="310" t="s">
        <v>41</v>
      </c>
      <c r="AE39" s="310">
        <v>10</v>
      </c>
      <c r="AF39" s="310">
        <v>5</v>
      </c>
      <c r="AG39" s="310">
        <v>6</v>
      </c>
      <c r="AH39" s="310">
        <v>4</v>
      </c>
      <c r="AI39" s="310" t="s">
        <v>41</v>
      </c>
      <c r="AJ39" s="310" t="s">
        <v>41</v>
      </c>
      <c r="AK39" s="311" t="s">
        <v>41</v>
      </c>
      <c r="AL39" s="310">
        <v>5</v>
      </c>
      <c r="AM39" s="310">
        <v>6</v>
      </c>
      <c r="AN39" s="311">
        <v>5</v>
      </c>
      <c r="AO39" s="312" t="s">
        <v>41</v>
      </c>
      <c r="AP39" s="311" t="s">
        <v>45</v>
      </c>
      <c r="AQ39" s="313">
        <f>AVERAGE(Q39,S39,T39)+IF(OR(Q39&gt;7,AND(Q39&gt;5,T39&gt;5)),0.5,0)+IF(S39&gt;7,0.25,0)+IF(Q39&lt;6,-0.5*(6-Q39),0)</f>
        <v>5.5</v>
      </c>
      <c r="AR39" s="314" t="str">
        <f>IF(AQ39&gt;9,"SuperStar",IF(AQ39&gt;8,"Star",IF(AQ39&gt;6.5,"GoodReg",IF(AQ39&gt;5,"Reg",IF(AQ39&gt;4,"Bench","Minors")))))</f>
        <v>Reg</v>
      </c>
      <c r="AS39" s="313">
        <f>AVERAGE(V39,X39,Y39)+IF(OR(V39&gt;7,AND(V39&gt;5,Y39&gt;5)),0.5,0)+IF(X39&gt;7,0.25,0)+IF(V39&lt;6,-0.5*(6-V39),0)</f>
        <v>5.5</v>
      </c>
      <c r="AT39" s="313" t="str">
        <f>IF(AS39&gt;9,"SuperStar",IF(AS39&gt;8,"Star",IF(AS39&gt;6.5,"GoodReg",IF(AS39&gt;5,"Reg",IF(AS39&gt;4,"Bench","Minors")))))</f>
        <v>Reg</v>
      </c>
      <c r="AU39" s="314">
        <f>MIN(AQ39+(MAX(0,25-J39))^1.5,AS39)</f>
        <v>5.5</v>
      </c>
      <c r="AV39" s="314" t="str">
        <f>IF(AU39&gt;9,"SuperStar",IF(AU39&gt;8,"Star",IF(AU39&gt;6.5,"GoodReg",IF(AU39&gt;5,"Reg",IF(AU39&gt;4,"Bench","Minors")))))</f>
        <v>Reg</v>
      </c>
      <c r="AW39" s="315">
        <f>IF(AND(OR(Q39+T39&gt;12,AND(Q39&gt;6,T39&gt;6)),AL39&gt;6,OR(AM39&gt;=AL39,AM39&gt;6)),1,0)</f>
        <v>0</v>
      </c>
      <c r="AX39" s="316">
        <f>IF(OR(AND(Q39&gt;6,U39&gt;6),Q39+T39&gt;12),1,0)</f>
        <v>0</v>
      </c>
      <c r="AY39" s="316">
        <f>IF(AND(Q39&gt;6,S39&gt;6,T39&gt;6),1,0)</f>
        <v>0</v>
      </c>
      <c r="AZ39" s="316">
        <f>IF(AND(S39&gt;7,OR(Q39&gt;6,T39&gt;6)),1,0)</f>
        <v>0</v>
      </c>
      <c r="BA39" s="316">
        <f>IF(AND(S39&gt;6,OR(Q39&gt;6,T39&gt;6)),1,0)</f>
        <v>0</v>
      </c>
      <c r="BB39" s="316">
        <f>IF(AND(OR(Q39&gt;6,S39&gt;6),OR(Q39&gt;6,T39&gt;6)),1,0)</f>
        <v>0</v>
      </c>
      <c r="BC39" s="316">
        <f>IF(AND(Q39&gt;4,OR(Q39&gt;6,S39&gt;6,T39&gt;6)),1,0)</f>
        <v>1</v>
      </c>
      <c r="BD39" s="316">
        <f>IF(AND(Q39&gt;4,OR(Q39&gt;6,R39&gt;6,S39&gt;6,T39&gt;6)),1,0)</f>
        <v>1</v>
      </c>
      <c r="BE39" s="311">
        <f>IF(AND(Q39&gt;4,MAX(Q39:U39)&gt;6),1,0)</f>
        <v>1</v>
      </c>
      <c r="BF39" s="315">
        <f>IF(AND(OR(V39+Y39&gt;12,AND(V39&gt;6,Y39&gt;6)),AL39&gt;6,OR(AM39&gt;=AL39,AM39&gt;6)),1,0)</f>
        <v>0</v>
      </c>
      <c r="BG39" s="316">
        <f>IF(OR(AND(V39&gt;6,Z39&gt;6),V39+Y39&gt;12),1,0)</f>
        <v>0</v>
      </c>
      <c r="BH39" s="316">
        <f>IF(AND(V39&gt;6,X39&gt;6,Y39&gt;6),1,0)</f>
        <v>0</v>
      </c>
      <c r="BI39" s="316">
        <f>IF(AND(X39&gt;7,OR(V39&gt;6,Y39&gt;6)),1,0)</f>
        <v>0</v>
      </c>
      <c r="BJ39" s="316">
        <f>IF(AND(X39&gt;6,OR(V39&gt;6,Y39&gt;6)),1,0)</f>
        <v>0</v>
      </c>
      <c r="BK39" s="316">
        <f>IF(AND(OR(V39&gt;6,X39&gt;6),OR(V39&gt;6,Y39&gt;6)),1,0)</f>
        <v>0</v>
      </c>
      <c r="BL39" s="316">
        <f>IF(AND(V39&gt;4,OR(V39&gt;6,X39&gt;6,Y39&gt;6)),1,0)</f>
        <v>1</v>
      </c>
      <c r="BM39" s="316">
        <f>IF(AND(V39&gt;4,OR(V39&gt;6,W39&gt;6,X39&gt;6,Y39&gt;6)),1,0)</f>
        <v>1</v>
      </c>
      <c r="BN39" s="311">
        <f>IF(AND(V39&gt;4,MAX(V39:Z39)&gt;6),1,0)</f>
        <v>1</v>
      </c>
      <c r="BO39" s="311">
        <f>IF(AVERAGE(AL39:AM39)&gt;9,1,0)+IF(AVERAGE(AL39:AM39)&gt;7,1,0)+IF(AL39&gt;7,1,0)+IF(AM39&gt;7,1,0)+IF(AN39&gt;8,1,0)+IF(AN39&gt;6,1,0)</f>
        <v>0</v>
      </c>
      <c r="BP39" s="317">
        <f>IF(OR(MAX(AD39,AE39,AI39,AK39)&gt;6,MAX(AF39,AG39,AH39,AJ39)&gt;7),2,IF(MAX(AD39:AK39)&gt;4,1,0))</f>
        <v>2</v>
      </c>
      <c r="BQ39" s="310" t="str">
        <f>IF(AP39=1,"Yes","")</f>
        <v/>
      </c>
      <c r="BR39" s="309" t="str">
        <f>IF($A39="ML","There",IF(AND($V39&gt;=6,AVERAGE($X39:$Y39)&gt;=6),"Likely",IF(OR($V39&gt;6,AND($V39=6,AVERAGE($X39:$Y39)&gt;=3),AND($V39&gt;=5,AVERAGE($X39:$Y39)&gt;=5),AVERAGE($V39,$X39:$Y39)&gt;5),"Possible","Unlikely")))</f>
        <v>Possible</v>
      </c>
      <c r="BS39" s="310" t="str">
        <f>IF(OR(AND(Q39&gt;=6,S39+T39&gt;=12),Q39&gt;7),"Start",IF(AND(Q39&gt;=5,S39+T39&gt;=8),"Bench","aack!"))</f>
        <v>Bench</v>
      </c>
      <c r="BT39" s="310" t="str">
        <f>IF(OR(AND(V39&gt;=6,X39+Y39&gt;=12),V39&gt;7),"Start",IF(AND(V39&gt;=5,X39+Y39&gt;=8),"Bench","aack!"))</f>
        <v>Bench</v>
      </c>
      <c r="BU39" s="310" t="str">
        <f>IF(Q39&gt;5,"ML",IF(Q39=5,"AAA",IF(Q39=4,"AA",IF(Q39=3,"A","SS-A"))))</f>
        <v>AAA</v>
      </c>
      <c r="BV39" s="310">
        <f>Q39-V39</f>
        <v>0</v>
      </c>
      <c r="BW39" s="310">
        <f>R39-W39</f>
        <v>0</v>
      </c>
      <c r="BX39" s="310">
        <f>S39-X39</f>
        <v>0</v>
      </c>
      <c r="BY39" s="310">
        <f>T39-Y39</f>
        <v>0</v>
      </c>
      <c r="BZ39" s="310">
        <f>U39-Z39</f>
        <v>0</v>
      </c>
      <c r="CA39" s="310">
        <f>SUM(BV39:BZ39)</f>
        <v>0</v>
      </c>
      <c r="CB39" s="310">
        <f>V39+X39+Y39</f>
        <v>18</v>
      </c>
      <c r="CC39" s="310">
        <f>V39+X39</f>
        <v>12</v>
      </c>
      <c r="CD39" s="310">
        <f>V39+Y39</f>
        <v>11</v>
      </c>
      <c r="CE39" s="310" t="str">
        <f>IF(J39&gt;24,"Now - Age",IF(Q39&gt;6,"Now",IF(V39&lt;6,"With Dev",MIN(V39-Q39,7-Q39))))</f>
        <v>Now - Age</v>
      </c>
      <c r="CF39" s="325" t="str">
        <f t="shared" ref="CF39:CF92" si="12">IF(AD39&lt;&gt;"-","X","")</f>
        <v/>
      </c>
      <c r="CG39" s="325" t="str">
        <f t="shared" si="5"/>
        <v>X</v>
      </c>
      <c r="CH39" s="325" t="str">
        <f t="shared" si="6"/>
        <v/>
      </c>
      <c r="CI39" s="325" t="str">
        <f t="shared" si="7"/>
        <v>X</v>
      </c>
      <c r="CJ39" s="325" t="str">
        <f t="shared" si="8"/>
        <v/>
      </c>
      <c r="CK39" s="325" t="str">
        <f t="shared" si="9"/>
        <v/>
      </c>
      <c r="CL39" s="325" t="str">
        <f t="shared" si="10"/>
        <v/>
      </c>
      <c r="CM39" s="325" t="str">
        <f t="shared" si="11"/>
        <v/>
      </c>
      <c r="CN39" s="325" t="str">
        <f t="shared" si="4"/>
        <v/>
      </c>
    </row>
    <row r="40" spans="1:92">
      <c r="A40" s="308" t="s">
        <v>214</v>
      </c>
      <c r="B40" s="309" t="s">
        <v>102</v>
      </c>
      <c r="C40" s="310">
        <f>IF(BH40=1,3,IF(BI40=1,4,IF(BF40=1,1,IF(BJ40=1,5,IF(BG40=1,2,IF(BK40=1,6,IF(BL40=1,7,IF(BM40=1,8,IF(BN40=1,9,"-")))))))))</f>
        <v>8</v>
      </c>
      <c r="D40" s="310">
        <f>IF(AY40=1,3,IF(AZ40=1,4,IF(AW40=1,1,IF(BA40=1,5,IF(AX40=1,2,IF(BB40=1,6,IF(BC40=1,7,IF(BD40=1,8,IF(BE40=1,9,"-")))))))))</f>
        <v>8</v>
      </c>
      <c r="E40" s="310" t="str">
        <f>IF(OR(OR(O40="Very High",O40="High"),AND(OR(O40="Very High",O40="High",O40="Normal"),OR(P40="Very High",P40="High"))),"K","T")</f>
        <v>K</v>
      </c>
      <c r="F40" s="310" t="s">
        <v>102</v>
      </c>
      <c r="G40" s="310" t="s">
        <v>404</v>
      </c>
      <c r="H40" s="310" t="s">
        <v>385</v>
      </c>
      <c r="I40" s="310" t="s">
        <v>214</v>
      </c>
      <c r="J40" s="310">
        <v>24</v>
      </c>
      <c r="K40" s="310" t="s">
        <v>106</v>
      </c>
      <c r="L40" s="310" t="s">
        <v>107</v>
      </c>
      <c r="M40" s="310" t="s">
        <v>47</v>
      </c>
      <c r="N40" s="311" t="s">
        <v>47</v>
      </c>
      <c r="O40" s="310" t="s">
        <v>229</v>
      </c>
      <c r="P40" s="311" t="s">
        <v>229</v>
      </c>
      <c r="Q40" s="310">
        <v>6</v>
      </c>
      <c r="R40" s="310">
        <v>7</v>
      </c>
      <c r="S40" s="310">
        <v>5</v>
      </c>
      <c r="T40" s="310">
        <v>5</v>
      </c>
      <c r="U40" s="311">
        <v>4</v>
      </c>
      <c r="V40" s="310">
        <v>6</v>
      </c>
      <c r="W40" s="310">
        <v>7</v>
      </c>
      <c r="X40" s="310">
        <v>5</v>
      </c>
      <c r="Y40" s="310">
        <v>5</v>
      </c>
      <c r="Z40" s="311">
        <v>5</v>
      </c>
      <c r="AA40" s="310">
        <v>1</v>
      </c>
      <c r="AB40" s="310">
        <v>8</v>
      </c>
      <c r="AC40" s="310">
        <v>1</v>
      </c>
      <c r="AD40" s="310" t="s">
        <v>41</v>
      </c>
      <c r="AE40" s="310" t="s">
        <v>41</v>
      </c>
      <c r="AF40" s="310" t="s">
        <v>41</v>
      </c>
      <c r="AG40" s="310" t="s">
        <v>41</v>
      </c>
      <c r="AH40" s="310" t="s">
        <v>41</v>
      </c>
      <c r="AI40" s="310">
        <v>5</v>
      </c>
      <c r="AJ40" s="310">
        <v>8</v>
      </c>
      <c r="AK40" s="311">
        <v>7</v>
      </c>
      <c r="AL40" s="310">
        <v>6</v>
      </c>
      <c r="AM40" s="310">
        <v>9</v>
      </c>
      <c r="AN40" s="311">
        <v>7</v>
      </c>
      <c r="AO40" s="312" t="s">
        <v>41</v>
      </c>
      <c r="AP40" s="311">
        <v>0</v>
      </c>
      <c r="AQ40" s="313">
        <f>AVERAGE(Q40,S40,T40)+IF(OR(Q40&gt;7,AND(Q40&gt;5,T40&gt;5)),0.5,0)+IF(S40&gt;7,0.25,0)+IF(Q40&lt;6,-0.5*(6-Q40),0)</f>
        <v>5.333333333333333</v>
      </c>
      <c r="AR40" s="314" t="str">
        <f>IF(AQ40&gt;9,"SuperStar",IF(AQ40&gt;8,"Star",IF(AQ40&gt;6.5,"GoodReg",IF(AQ40&gt;5,"Reg",IF(AQ40&gt;4,"Bench","Minors")))))</f>
        <v>Reg</v>
      </c>
      <c r="AS40" s="313">
        <f>AVERAGE(V40,X40,Y40)+IF(OR(V40&gt;7,AND(V40&gt;5,Y40&gt;5)),0.5,0)+IF(X40&gt;7,0.25,0)+IF(V40&lt;6,-0.5*(6-V40),0)</f>
        <v>5.333333333333333</v>
      </c>
      <c r="AT40" s="313" t="str">
        <f>IF(AS40&gt;9,"SuperStar",IF(AS40&gt;8,"Star",IF(AS40&gt;6.5,"GoodReg",IF(AS40&gt;5,"Reg",IF(AS40&gt;4,"Bench","Minors")))))</f>
        <v>Reg</v>
      </c>
      <c r="AU40" s="314">
        <f>MIN(AQ40+(MAX(0,25-J40))^1.5,AS40)</f>
        <v>5.333333333333333</v>
      </c>
      <c r="AV40" s="314" t="str">
        <f>IF(AU40&gt;9,"SuperStar",IF(AU40&gt;8,"Star",IF(AU40&gt;6.5,"GoodReg",IF(AU40&gt;5,"Reg",IF(AU40&gt;4,"Bench","Minors")))))</f>
        <v>Reg</v>
      </c>
      <c r="AW40" s="315">
        <f>IF(AND(OR(Q40+T40&gt;12,AND(Q40&gt;6,T40&gt;6)),AL40&gt;6,OR(AM40&gt;=AL40,AM40&gt;6)),1,0)</f>
        <v>0</v>
      </c>
      <c r="AX40" s="316">
        <f>IF(OR(AND(Q40&gt;6,U40&gt;6),Q40+T40&gt;12),1,0)</f>
        <v>0</v>
      </c>
      <c r="AY40" s="316">
        <f>IF(AND(Q40&gt;6,S40&gt;6,T40&gt;6),1,0)</f>
        <v>0</v>
      </c>
      <c r="AZ40" s="316">
        <f>IF(AND(S40&gt;7,OR(Q40&gt;6,T40&gt;6)),1,0)</f>
        <v>0</v>
      </c>
      <c r="BA40" s="316">
        <f>IF(AND(S40&gt;6,OR(Q40&gt;6,T40&gt;6)),1,0)</f>
        <v>0</v>
      </c>
      <c r="BB40" s="316">
        <f>IF(AND(OR(Q40&gt;6,S40&gt;6),OR(Q40&gt;6,T40&gt;6)),1,0)</f>
        <v>0</v>
      </c>
      <c r="BC40" s="316">
        <f>IF(AND(Q40&gt;4,OR(Q40&gt;6,S40&gt;6,T40&gt;6)),1,0)</f>
        <v>0</v>
      </c>
      <c r="BD40" s="316">
        <f>IF(AND(Q40&gt;4,OR(Q40&gt;6,R40&gt;6,S40&gt;6,T40&gt;6)),1,0)</f>
        <v>1</v>
      </c>
      <c r="BE40" s="311">
        <f>IF(AND(Q40&gt;4,MAX(Q40:U40)&gt;6),1,0)</f>
        <v>1</v>
      </c>
      <c r="BF40" s="315">
        <f>IF(AND(OR(V40+Y40&gt;12,AND(V40&gt;6,Y40&gt;6)),AL40&gt;6,OR(AM40&gt;=AL40,AM40&gt;6)),1,0)</f>
        <v>0</v>
      </c>
      <c r="BG40" s="316">
        <f>IF(OR(AND(V40&gt;6,Z40&gt;6),V40+Y40&gt;12),1,0)</f>
        <v>0</v>
      </c>
      <c r="BH40" s="316">
        <f>IF(AND(V40&gt;6,X40&gt;6,Y40&gt;6),1,0)</f>
        <v>0</v>
      </c>
      <c r="BI40" s="316">
        <f>IF(AND(X40&gt;7,OR(V40&gt;6,Y40&gt;6)),1,0)</f>
        <v>0</v>
      </c>
      <c r="BJ40" s="316">
        <f>IF(AND(X40&gt;6,OR(V40&gt;6,Y40&gt;6)),1,0)</f>
        <v>0</v>
      </c>
      <c r="BK40" s="316">
        <f>IF(AND(OR(V40&gt;6,X40&gt;6),OR(V40&gt;6,Y40&gt;6)),1,0)</f>
        <v>0</v>
      </c>
      <c r="BL40" s="316">
        <f>IF(AND(V40&gt;4,OR(V40&gt;6,X40&gt;6,Y40&gt;6)),1,0)</f>
        <v>0</v>
      </c>
      <c r="BM40" s="316">
        <f>IF(AND(V40&gt;4,OR(V40&gt;6,W40&gt;6,X40&gt;6,Y40&gt;6)),1,0)</f>
        <v>1</v>
      </c>
      <c r="BN40" s="311">
        <f>IF(AND(V40&gt;4,MAX(V40:Z40)&gt;6),1,0)</f>
        <v>1</v>
      </c>
      <c r="BO40" s="311">
        <f>IF(AVERAGE(AL40:AM40)&gt;9,1,0)+IF(AVERAGE(AL40:AM40)&gt;7,1,0)+IF(AL40&gt;7,1,0)+IF(AM40&gt;7,1,0)+IF(AN40&gt;8,1,0)+IF(AN40&gt;6,1,0)</f>
        <v>3</v>
      </c>
      <c r="BP40" s="317">
        <f>IF(OR(MAX(AD40,AE40,AI40,AK40)&gt;6,MAX(AF40,AG40,AH40,AJ40)&gt;7),2,IF(MAX(AD40:AK40)&gt;4,1,0))</f>
        <v>2</v>
      </c>
      <c r="BQ40" s="310" t="str">
        <f>IF(AP40=1,"Yes","")</f>
        <v/>
      </c>
      <c r="BR40" s="309" t="str">
        <f>IF($A40="ML","There",IF(AND($V40&gt;=6,AVERAGE($X40:$Y40)&gt;=6),"Likely",IF(OR($V40&gt;6,AND($V40=6,AVERAGE($X40:$Y40)&gt;=3),AND($V40&gt;=5,AVERAGE($X40:$Y40)&gt;=5),AVERAGE($V40,$X40:$Y40)&gt;5),"Possible","Unlikely")))</f>
        <v>Possible</v>
      </c>
      <c r="BS40" s="310" t="str">
        <f>IF(OR(AND(Q40&gt;=6,S40+T40&gt;=12),Q40&gt;7),"Start",IF(AND(Q40&gt;=5,S40+T40&gt;=8),"Bench","aack!"))</f>
        <v>Bench</v>
      </c>
      <c r="BT40" s="310" t="str">
        <f>IF(OR(AND(V40&gt;=6,X40+Y40&gt;=12),V40&gt;7),"Start",IF(AND(V40&gt;=5,X40+Y40&gt;=8),"Bench","aack!"))</f>
        <v>Bench</v>
      </c>
      <c r="BU40" s="310" t="str">
        <f>IF(Q40&gt;5,"ML",IF(Q40=5,"AAA",IF(Q40=4,"AA",IF(Q40=3,"A","SS-A"))))</f>
        <v>ML</v>
      </c>
      <c r="BV40" s="310">
        <f>Q40-V40</f>
        <v>0</v>
      </c>
      <c r="BW40" s="310">
        <f>R40-W40</f>
        <v>0</v>
      </c>
      <c r="BX40" s="310">
        <f>S40-X40</f>
        <v>0</v>
      </c>
      <c r="BY40" s="310">
        <f>T40-Y40</f>
        <v>0</v>
      </c>
      <c r="BZ40" s="310">
        <f>U40-Z40</f>
        <v>-1</v>
      </c>
      <c r="CA40" s="310">
        <f>SUM(BV40:BZ40)</f>
        <v>-1</v>
      </c>
      <c r="CB40" s="310">
        <f>V40+X40+Y40</f>
        <v>16</v>
      </c>
      <c r="CC40" s="310">
        <f>V40+X40</f>
        <v>11</v>
      </c>
      <c r="CD40" s="310">
        <f>V40+Y40</f>
        <v>11</v>
      </c>
      <c r="CE40" s="310">
        <f>IF(J40&gt;24,"Now - Age",IF(Q40&gt;6,"Now",IF(V40&lt;6,"With Dev",MIN(V40-Q40,7-Q40))))</f>
        <v>0</v>
      </c>
      <c r="CF40" s="325" t="str">
        <f t="shared" si="12"/>
        <v/>
      </c>
      <c r="CG40" s="325" t="str">
        <f t="shared" si="5"/>
        <v/>
      </c>
      <c r="CH40" s="325" t="str">
        <f t="shared" si="6"/>
        <v/>
      </c>
      <c r="CI40" s="325" t="str">
        <f t="shared" si="7"/>
        <v/>
      </c>
      <c r="CJ40" s="325" t="str">
        <f t="shared" si="8"/>
        <v/>
      </c>
      <c r="CK40" s="325" t="str">
        <f t="shared" si="9"/>
        <v>X</v>
      </c>
      <c r="CL40" s="325" t="str">
        <f t="shared" si="10"/>
        <v>X</v>
      </c>
      <c r="CM40" s="325" t="str">
        <f t="shared" si="11"/>
        <v>X</v>
      </c>
      <c r="CN40" s="325" t="str">
        <f t="shared" si="4"/>
        <v/>
      </c>
    </row>
    <row r="41" spans="1:92">
      <c r="A41" s="308" t="s">
        <v>214</v>
      </c>
      <c r="B41" s="309" t="s">
        <v>101</v>
      </c>
      <c r="C41" s="310">
        <f>IF(BH41=1,3,IF(BI41=1,4,IF(BF41=1,1,IF(BJ41=1,5,IF(BG41=1,2,IF(BK41=1,6,IF(BL41=1,7,IF(BM41=1,8,IF(BN41=1,9,"-")))))))))</f>
        <v>6</v>
      </c>
      <c r="D41" s="310">
        <f>IF(AY41=1,3,IF(AZ41=1,4,IF(AW41=1,1,IF(BA41=1,5,IF(AX41=1,2,IF(BB41=1,6,IF(BC41=1,7,IF(BD41=1,8,IF(BE41=1,9,"-")))))))))</f>
        <v>8</v>
      </c>
      <c r="E41" s="310" t="str">
        <f>IF(OR(OR(O41="Very High",O41="High"),AND(OR(O41="Very High",O41="High",O41="Normal"),OR(P41="Very High",P41="High"))),"K","T")</f>
        <v>K</v>
      </c>
      <c r="F41" s="310" t="s">
        <v>101</v>
      </c>
      <c r="G41" s="310" t="s">
        <v>251</v>
      </c>
      <c r="H41" s="310" t="s">
        <v>384</v>
      </c>
      <c r="I41" s="310" t="s">
        <v>213</v>
      </c>
      <c r="J41" s="310">
        <v>26</v>
      </c>
      <c r="K41" s="310" t="s">
        <v>107</v>
      </c>
      <c r="L41" s="310" t="s">
        <v>107</v>
      </c>
      <c r="M41" s="310" t="s">
        <v>47</v>
      </c>
      <c r="N41" s="311" t="s">
        <v>47</v>
      </c>
      <c r="O41" s="310" t="s">
        <v>228</v>
      </c>
      <c r="P41" s="311" t="s">
        <v>230</v>
      </c>
      <c r="Q41" s="310">
        <v>6</v>
      </c>
      <c r="R41" s="310">
        <v>8</v>
      </c>
      <c r="S41" s="310">
        <v>4</v>
      </c>
      <c r="T41" s="310">
        <v>5</v>
      </c>
      <c r="U41" s="311">
        <v>5</v>
      </c>
      <c r="V41" s="310">
        <v>7</v>
      </c>
      <c r="W41" s="310">
        <v>9</v>
      </c>
      <c r="X41" s="310">
        <v>4</v>
      </c>
      <c r="Y41" s="310">
        <v>5</v>
      </c>
      <c r="Z41" s="311">
        <v>5</v>
      </c>
      <c r="AA41" s="310">
        <v>1</v>
      </c>
      <c r="AB41" s="310">
        <v>6</v>
      </c>
      <c r="AC41" s="310">
        <v>1</v>
      </c>
      <c r="AD41" s="310" t="s">
        <v>41</v>
      </c>
      <c r="AE41" s="310">
        <v>1</v>
      </c>
      <c r="AF41" s="310" t="s">
        <v>41</v>
      </c>
      <c r="AG41" s="310" t="s">
        <v>41</v>
      </c>
      <c r="AH41" s="310" t="s">
        <v>41</v>
      </c>
      <c r="AI41" s="310">
        <v>6</v>
      </c>
      <c r="AJ41" s="310" t="s">
        <v>41</v>
      </c>
      <c r="AK41" s="311">
        <v>3</v>
      </c>
      <c r="AL41" s="310">
        <v>2</v>
      </c>
      <c r="AM41" s="310">
        <v>3</v>
      </c>
      <c r="AN41" s="311">
        <v>1</v>
      </c>
      <c r="AO41" s="312" t="s">
        <v>41</v>
      </c>
      <c r="AP41" s="311">
        <v>0</v>
      </c>
      <c r="AQ41" s="313">
        <f>AVERAGE(Q41,S41,T41)+IF(OR(Q41&gt;7,AND(Q41&gt;5,T41&gt;5)),0.5,0)+IF(S41&gt;7,0.25,0)+IF(Q41&lt;6,-0.5*(6-Q41),0)</f>
        <v>5</v>
      </c>
      <c r="AR41" s="314" t="str">
        <f>IF(AQ41&gt;9,"SuperStar",IF(AQ41&gt;8,"Star",IF(AQ41&gt;6.5,"GoodReg",IF(AQ41&gt;5,"Reg",IF(AQ41&gt;4,"Bench","Minors")))))</f>
        <v>Bench</v>
      </c>
      <c r="AS41" s="313">
        <f>AVERAGE(V41,X41,Y41)+IF(OR(V41&gt;7,AND(V41&gt;5,Y41&gt;5)),0.5,0)+IF(X41&gt;7,0.25,0)+IF(V41&lt;6,-0.5*(6-V41),0)</f>
        <v>5.333333333333333</v>
      </c>
      <c r="AT41" s="313" t="str">
        <f>IF(AS41&gt;9,"SuperStar",IF(AS41&gt;8,"Star",IF(AS41&gt;6.5,"GoodReg",IF(AS41&gt;5,"Reg",IF(AS41&gt;4,"Bench","Minors")))))</f>
        <v>Reg</v>
      </c>
      <c r="AU41" s="314">
        <f>MIN(AQ41+(MAX(0,25-J41))^1.5,AS41)</f>
        <v>5</v>
      </c>
      <c r="AV41" s="314" t="str">
        <f>IF(AU41&gt;9,"SuperStar",IF(AU41&gt;8,"Star",IF(AU41&gt;6.5,"GoodReg",IF(AU41&gt;5,"Reg",IF(AU41&gt;4,"Bench","Minors")))))</f>
        <v>Bench</v>
      </c>
      <c r="AW41" s="315">
        <f>IF(AND(OR(Q41+T41&gt;12,AND(Q41&gt;6,T41&gt;6)),AL41&gt;6,OR(AM41&gt;=AL41,AM41&gt;6)),1,0)</f>
        <v>0</v>
      </c>
      <c r="AX41" s="316">
        <f>IF(OR(AND(Q41&gt;6,U41&gt;6),Q41+T41&gt;12),1,0)</f>
        <v>0</v>
      </c>
      <c r="AY41" s="316">
        <f>IF(AND(Q41&gt;6,S41&gt;6,T41&gt;6),1,0)</f>
        <v>0</v>
      </c>
      <c r="AZ41" s="316">
        <f>IF(AND(S41&gt;7,OR(Q41&gt;6,T41&gt;6)),1,0)</f>
        <v>0</v>
      </c>
      <c r="BA41" s="316">
        <f>IF(AND(S41&gt;6,OR(Q41&gt;6,T41&gt;6)),1,0)</f>
        <v>0</v>
      </c>
      <c r="BB41" s="316">
        <f>IF(AND(OR(Q41&gt;6,S41&gt;6),OR(Q41&gt;6,T41&gt;6)),1,0)</f>
        <v>0</v>
      </c>
      <c r="BC41" s="316">
        <f>IF(AND(Q41&gt;4,OR(Q41&gt;6,S41&gt;6,T41&gt;6)),1,0)</f>
        <v>0</v>
      </c>
      <c r="BD41" s="316">
        <f>IF(AND(Q41&gt;4,OR(Q41&gt;6,R41&gt;6,S41&gt;6,T41&gt;6)),1,0)</f>
        <v>1</v>
      </c>
      <c r="BE41" s="311">
        <f>IF(AND(Q41&gt;4,MAX(Q41:U41)&gt;6),1,0)</f>
        <v>1</v>
      </c>
      <c r="BF41" s="315">
        <f>IF(AND(OR(V41+Y41&gt;12,AND(V41&gt;6,Y41&gt;6)),AL41&gt;6,OR(AM41&gt;=AL41,AM41&gt;6)),1,0)</f>
        <v>0</v>
      </c>
      <c r="BG41" s="316">
        <f>IF(OR(AND(V41&gt;6,Z41&gt;6),V41+Y41&gt;12),1,0)</f>
        <v>0</v>
      </c>
      <c r="BH41" s="316">
        <f>IF(AND(V41&gt;6,X41&gt;6,Y41&gt;6),1,0)</f>
        <v>0</v>
      </c>
      <c r="BI41" s="316">
        <f>IF(AND(X41&gt;7,OR(V41&gt;6,Y41&gt;6)),1,0)</f>
        <v>0</v>
      </c>
      <c r="BJ41" s="316">
        <f>IF(AND(X41&gt;6,OR(V41&gt;6,Y41&gt;6)),1,0)</f>
        <v>0</v>
      </c>
      <c r="BK41" s="316">
        <f>IF(AND(OR(V41&gt;6,X41&gt;6),OR(V41&gt;6,Y41&gt;6)),1,0)</f>
        <v>1</v>
      </c>
      <c r="BL41" s="316">
        <f>IF(AND(V41&gt;4,OR(V41&gt;6,X41&gt;6,Y41&gt;6)),1,0)</f>
        <v>1</v>
      </c>
      <c r="BM41" s="316">
        <f>IF(AND(V41&gt;4,OR(V41&gt;6,W41&gt;6,X41&gt;6,Y41&gt;6)),1,0)</f>
        <v>1</v>
      </c>
      <c r="BN41" s="311">
        <f>IF(AND(V41&gt;4,MAX(V41:Z41)&gt;6),1,0)</f>
        <v>1</v>
      </c>
      <c r="BO41" s="311">
        <f>IF(AVERAGE(AL41:AM41)&gt;9,1,0)+IF(AVERAGE(AL41:AM41)&gt;7,1,0)+IF(AL41&gt;7,1,0)+IF(AM41&gt;7,1,0)+IF(AN41&gt;8,1,0)+IF(AN41&gt;6,1,0)</f>
        <v>0</v>
      </c>
      <c r="BP41" s="317">
        <f>IF(OR(MAX(AD41,AE41,AI41,AK41)&gt;6,MAX(AF41,AG41,AH41,AJ41)&gt;7),2,IF(MAX(AD41:AK41)&gt;4,1,0))</f>
        <v>1</v>
      </c>
      <c r="BQ41" s="310" t="str">
        <f>IF(AP41=1,"Yes","")</f>
        <v/>
      </c>
      <c r="BR41" s="309" t="str">
        <f>IF($A41="ML","There",IF(AND($V41&gt;=6,AVERAGE($X41:$Y41)&gt;=6),"Likely",IF(OR($V41&gt;6,AND($V41=6,AVERAGE($X41:$Y41)&gt;=3),AND($V41&gt;=5,AVERAGE($X41:$Y41)&gt;=5),AVERAGE($V41,$X41:$Y41)&gt;5),"Possible","Unlikely")))</f>
        <v>Possible</v>
      </c>
      <c r="BS41" s="310" t="str">
        <f>IF(OR(AND(Q41&gt;=6,S41+T41&gt;=12),Q41&gt;7),"Start",IF(AND(Q41&gt;=5,S41+T41&gt;=8),"Bench","aack!"))</f>
        <v>Bench</v>
      </c>
      <c r="BT41" s="310" t="str">
        <f>IF(OR(AND(V41&gt;=6,X41+Y41&gt;=12),V41&gt;7),"Start",IF(AND(V41&gt;=5,X41+Y41&gt;=8),"Bench","aack!"))</f>
        <v>Bench</v>
      </c>
      <c r="BU41" s="310" t="str">
        <f>IF(Q41&gt;5,"ML",IF(Q41=5,"AAA",IF(Q41=4,"AA",IF(Q41=3,"A","SS-A"))))</f>
        <v>ML</v>
      </c>
      <c r="BV41" s="310">
        <f>Q41-V41</f>
        <v>-1</v>
      </c>
      <c r="BW41" s="310">
        <f>R41-W41</f>
        <v>-1</v>
      </c>
      <c r="BX41" s="310">
        <f>S41-X41</f>
        <v>0</v>
      </c>
      <c r="BY41" s="310">
        <f>T41-Y41</f>
        <v>0</v>
      </c>
      <c r="BZ41" s="310">
        <f>U41-Z41</f>
        <v>0</v>
      </c>
      <c r="CA41" s="310">
        <f>SUM(BV41:BZ41)</f>
        <v>-2</v>
      </c>
      <c r="CB41" s="310">
        <f>V41+X41+Y41</f>
        <v>16</v>
      </c>
      <c r="CC41" s="310">
        <f>V41+X41</f>
        <v>11</v>
      </c>
      <c r="CD41" s="310">
        <f>V41+Y41</f>
        <v>12</v>
      </c>
      <c r="CE41" s="310" t="str">
        <f>IF(J41&gt;24,"Now - Age",IF(Q41&gt;6,"Now",IF(V41&lt;6,"With Dev",MIN(V41-Q41,7-Q41))))</f>
        <v>Now - Age</v>
      </c>
      <c r="CF41" s="325" t="str">
        <f t="shared" si="12"/>
        <v/>
      </c>
      <c r="CG41" s="325" t="str">
        <f t="shared" si="5"/>
        <v/>
      </c>
      <c r="CH41" s="325" t="str">
        <f t="shared" si="6"/>
        <v/>
      </c>
      <c r="CI41" s="325" t="str">
        <f t="shared" si="7"/>
        <v/>
      </c>
      <c r="CJ41" s="325" t="str">
        <f t="shared" si="8"/>
        <v/>
      </c>
      <c r="CK41" s="325" t="str">
        <f t="shared" si="9"/>
        <v>X</v>
      </c>
      <c r="CL41" s="325" t="str">
        <f t="shared" si="10"/>
        <v/>
      </c>
      <c r="CM41" s="325" t="str">
        <f t="shared" si="11"/>
        <v/>
      </c>
      <c r="CN41" s="325" t="str">
        <f t="shared" si="4"/>
        <v/>
      </c>
    </row>
    <row r="42" spans="1:92">
      <c r="A42" s="308" t="s">
        <v>214</v>
      </c>
      <c r="B42" s="309" t="s">
        <v>584</v>
      </c>
      <c r="C42" s="310" t="str">
        <f>IF(BH42=1,3,IF(BI42=1,4,IF(BF42=1,1,IF(BJ42=1,5,IF(BG42=1,2,IF(BK42=1,6,IF(BL42=1,7,IF(BM42=1,8,IF(BN42=1,9,"-")))))))))</f>
        <v>-</v>
      </c>
      <c r="D42" s="310" t="str">
        <f>IF(AY42=1,3,IF(AZ42=1,4,IF(AW42=1,1,IF(BA42=1,5,IF(AX42=1,2,IF(BB42=1,6,IF(BC42=1,7,IF(BD42=1,8,IF(BE42=1,9,"-")))))))))</f>
        <v>-</v>
      </c>
      <c r="E42" s="310" t="str">
        <f>IF(OR(OR(O42="Very High",O42="High"),AND(OR(O42="Very High",O42="High",O42="Normal"),OR(P42="Very High",P42="High"))),"K","T")</f>
        <v>K</v>
      </c>
      <c r="F42" s="310" t="s">
        <v>103</v>
      </c>
      <c r="G42" s="310" t="s">
        <v>249</v>
      </c>
      <c r="H42" s="310" t="s">
        <v>385</v>
      </c>
      <c r="I42" s="310" t="s">
        <v>214</v>
      </c>
      <c r="J42" s="310">
        <v>23</v>
      </c>
      <c r="K42" s="310" t="s">
        <v>107</v>
      </c>
      <c r="L42" s="310" t="s">
        <v>107</v>
      </c>
      <c r="M42" s="310" t="s">
        <v>47</v>
      </c>
      <c r="N42" s="311" t="s">
        <v>47</v>
      </c>
      <c r="O42" s="310" t="s">
        <v>228</v>
      </c>
      <c r="P42" s="311" t="s">
        <v>228</v>
      </c>
      <c r="Q42" s="310">
        <v>6</v>
      </c>
      <c r="R42" s="310">
        <v>5</v>
      </c>
      <c r="S42" s="310">
        <v>4</v>
      </c>
      <c r="T42" s="310">
        <v>5</v>
      </c>
      <c r="U42" s="311">
        <v>6</v>
      </c>
      <c r="V42" s="310">
        <v>6</v>
      </c>
      <c r="W42" s="310">
        <v>6</v>
      </c>
      <c r="X42" s="310">
        <v>4</v>
      </c>
      <c r="Y42" s="310">
        <v>5</v>
      </c>
      <c r="Z42" s="311">
        <v>6</v>
      </c>
      <c r="AA42" s="310">
        <v>1</v>
      </c>
      <c r="AB42" s="310">
        <v>6</v>
      </c>
      <c r="AC42" s="310">
        <v>1</v>
      </c>
      <c r="AD42" s="310" t="s">
        <v>41</v>
      </c>
      <c r="AE42" s="310">
        <v>1</v>
      </c>
      <c r="AF42" s="310" t="s">
        <v>41</v>
      </c>
      <c r="AG42" s="310" t="s">
        <v>41</v>
      </c>
      <c r="AH42" s="310" t="s">
        <v>41</v>
      </c>
      <c r="AI42" s="310">
        <v>4</v>
      </c>
      <c r="AJ42" s="310">
        <v>1</v>
      </c>
      <c r="AK42" s="311">
        <v>4</v>
      </c>
      <c r="AL42" s="310">
        <v>4</v>
      </c>
      <c r="AM42" s="310">
        <v>4</v>
      </c>
      <c r="AN42" s="311">
        <v>4</v>
      </c>
      <c r="AO42" s="312" t="s">
        <v>41</v>
      </c>
      <c r="AP42" s="311">
        <v>0</v>
      </c>
      <c r="AQ42" s="313">
        <f>AVERAGE(Q42,S42,T42)+IF(OR(Q42&gt;7,AND(Q42&gt;5,T42&gt;5)),0.5,0)+IF(S42&gt;7,0.25,0)+IF(Q42&lt;6,-0.5*(6-Q42),0)</f>
        <v>5</v>
      </c>
      <c r="AR42" s="314" t="str">
        <f>IF(AQ42&gt;9,"SuperStar",IF(AQ42&gt;8,"Star",IF(AQ42&gt;6.5,"GoodReg",IF(AQ42&gt;5,"Reg",IF(AQ42&gt;4,"Bench","Minors")))))</f>
        <v>Bench</v>
      </c>
      <c r="AS42" s="313">
        <f>AVERAGE(V42,X42,Y42)+IF(OR(V42&gt;7,AND(V42&gt;5,Y42&gt;5)),0.5,0)+IF(X42&gt;7,0.25,0)+IF(V42&lt;6,-0.5*(6-V42),0)</f>
        <v>5</v>
      </c>
      <c r="AT42" s="313" t="str">
        <f>IF(AS42&gt;9,"SuperStar",IF(AS42&gt;8,"Star",IF(AS42&gt;6.5,"GoodReg",IF(AS42&gt;5,"Reg",IF(AS42&gt;4,"Bench","Minors")))))</f>
        <v>Bench</v>
      </c>
      <c r="AU42" s="314">
        <f>MIN(AQ42+(MAX(0,25-J42))^1.5,AS42)</f>
        <v>5</v>
      </c>
      <c r="AV42" s="314" t="str">
        <f>IF(AU42&gt;9,"SuperStar",IF(AU42&gt;8,"Star",IF(AU42&gt;6.5,"GoodReg",IF(AU42&gt;5,"Reg",IF(AU42&gt;4,"Bench","Minors")))))</f>
        <v>Bench</v>
      </c>
      <c r="AW42" s="315">
        <f>IF(AND(OR(Q42+T42&gt;12,AND(Q42&gt;6,T42&gt;6)),AL42&gt;6,OR(AM42&gt;=AL42,AM42&gt;6)),1,0)</f>
        <v>0</v>
      </c>
      <c r="AX42" s="316">
        <f>IF(OR(AND(Q42&gt;6,U42&gt;6),Q42+T42&gt;12),1,0)</f>
        <v>0</v>
      </c>
      <c r="AY42" s="316">
        <f>IF(AND(Q42&gt;6,S42&gt;6,T42&gt;6),1,0)</f>
        <v>0</v>
      </c>
      <c r="AZ42" s="316">
        <f>IF(AND(S42&gt;7,OR(Q42&gt;6,T42&gt;6)),1,0)</f>
        <v>0</v>
      </c>
      <c r="BA42" s="316">
        <f>IF(AND(S42&gt;6,OR(Q42&gt;6,T42&gt;6)),1,0)</f>
        <v>0</v>
      </c>
      <c r="BB42" s="316">
        <f>IF(AND(OR(Q42&gt;6,S42&gt;6),OR(Q42&gt;6,T42&gt;6)),1,0)</f>
        <v>0</v>
      </c>
      <c r="BC42" s="316">
        <f>IF(AND(Q42&gt;4,OR(Q42&gt;6,S42&gt;6,T42&gt;6)),1,0)</f>
        <v>0</v>
      </c>
      <c r="BD42" s="316">
        <f>IF(AND(Q42&gt;4,OR(Q42&gt;6,R42&gt;6,S42&gt;6,T42&gt;6)),1,0)</f>
        <v>0</v>
      </c>
      <c r="BE42" s="311">
        <f>IF(AND(Q42&gt;4,MAX(Q42:U42)&gt;6),1,0)</f>
        <v>0</v>
      </c>
      <c r="BF42" s="315">
        <f>IF(AND(OR(V42+Y42&gt;12,AND(V42&gt;6,Y42&gt;6)),AL42&gt;6,OR(AM42&gt;=AL42,AM42&gt;6)),1,0)</f>
        <v>0</v>
      </c>
      <c r="BG42" s="316">
        <f>IF(OR(AND(V42&gt;6,Z42&gt;6),V42+Y42&gt;12),1,0)</f>
        <v>0</v>
      </c>
      <c r="BH42" s="316">
        <f>IF(AND(V42&gt;6,X42&gt;6,Y42&gt;6),1,0)</f>
        <v>0</v>
      </c>
      <c r="BI42" s="316">
        <f>IF(AND(X42&gt;7,OR(V42&gt;6,Y42&gt;6)),1,0)</f>
        <v>0</v>
      </c>
      <c r="BJ42" s="316">
        <f>IF(AND(X42&gt;6,OR(V42&gt;6,Y42&gt;6)),1,0)</f>
        <v>0</v>
      </c>
      <c r="BK42" s="316">
        <f>IF(AND(OR(V42&gt;6,X42&gt;6),OR(V42&gt;6,Y42&gt;6)),1,0)</f>
        <v>0</v>
      </c>
      <c r="BL42" s="316">
        <f>IF(AND(V42&gt;4,OR(V42&gt;6,X42&gt;6,Y42&gt;6)),1,0)</f>
        <v>0</v>
      </c>
      <c r="BM42" s="316">
        <f>IF(AND(V42&gt;4,OR(V42&gt;6,W42&gt;6,X42&gt;6,Y42&gt;6)),1,0)</f>
        <v>0</v>
      </c>
      <c r="BN42" s="311">
        <f>IF(AND(V42&gt;4,MAX(V42:Z42)&gt;6),1,0)</f>
        <v>0</v>
      </c>
      <c r="BO42" s="311">
        <f>IF(AVERAGE(AL42:AM42)&gt;9,1,0)+IF(AVERAGE(AL42:AM42)&gt;7,1,0)+IF(AL42&gt;7,1,0)+IF(AM42&gt;7,1,0)+IF(AN42&gt;8,1,0)+IF(AN42&gt;6,1,0)</f>
        <v>0</v>
      </c>
      <c r="BP42" s="317">
        <f>IF(OR(MAX(AD42,AE42,AI42,AK42)&gt;6,MAX(AF42,AG42,AH42,AJ42)&gt;7),2,IF(MAX(AD42:AK42)&gt;4,1,0))</f>
        <v>0</v>
      </c>
      <c r="BQ42" s="310" t="str">
        <f>IF(AP42=1,"Yes","")</f>
        <v/>
      </c>
      <c r="BR42" s="309" t="str">
        <f>IF($A42="ML","There",IF(AND($V42&gt;=6,AVERAGE($X42:$Y42)&gt;=6),"Likely",IF(OR($V42&gt;6,AND($V42=6,AVERAGE($X42:$Y42)&gt;=3),AND($V42&gt;=5,AVERAGE($X42:$Y42)&gt;=5),AVERAGE($V42,$X42:$Y42)&gt;5),"Possible","Unlikely")))</f>
        <v>Possible</v>
      </c>
      <c r="BS42" s="310" t="str">
        <f>IF(OR(AND(Q42&gt;=6,S42+T42&gt;=12),Q42&gt;7),"Start",IF(AND(Q42&gt;=5,S42+T42&gt;=8),"Bench","aack!"))</f>
        <v>Bench</v>
      </c>
      <c r="BT42" s="310" t="str">
        <f>IF(OR(AND(V42&gt;=6,X42+Y42&gt;=12),V42&gt;7),"Start",IF(AND(V42&gt;=5,X42+Y42&gt;=8),"Bench","aack!"))</f>
        <v>Bench</v>
      </c>
      <c r="BU42" s="310" t="str">
        <f>IF(Q42&gt;5,"ML",IF(Q42=5,"AAA",IF(Q42=4,"AA",IF(Q42=3,"A","SS-A"))))</f>
        <v>ML</v>
      </c>
      <c r="BV42" s="310">
        <f>Q42-V42</f>
        <v>0</v>
      </c>
      <c r="BW42" s="310">
        <f>R42-W42</f>
        <v>-1</v>
      </c>
      <c r="BX42" s="310">
        <f>S42-X42</f>
        <v>0</v>
      </c>
      <c r="BY42" s="310">
        <f>T42-Y42</f>
        <v>0</v>
      </c>
      <c r="BZ42" s="310">
        <f>U42-Z42</f>
        <v>0</v>
      </c>
      <c r="CA42" s="310">
        <f>SUM(BV42:BZ42)</f>
        <v>-1</v>
      </c>
      <c r="CB42" s="310">
        <f>V42+X42+Y42</f>
        <v>15</v>
      </c>
      <c r="CC42" s="310">
        <f>V42+X42</f>
        <v>10</v>
      </c>
      <c r="CD42" s="310">
        <f>V42+Y42</f>
        <v>11</v>
      </c>
      <c r="CE42" s="310">
        <f>IF(J42&gt;24,"Now - Age",IF(Q42&gt;6,"Now",IF(V42&lt;6,"With Dev",MIN(V42-Q42,7-Q42))))</f>
        <v>0</v>
      </c>
      <c r="CF42" s="325" t="str">
        <f t="shared" si="12"/>
        <v/>
      </c>
      <c r="CG42" s="325" t="str">
        <f t="shared" si="5"/>
        <v/>
      </c>
      <c r="CH42" s="325" t="str">
        <f t="shared" si="6"/>
        <v/>
      </c>
      <c r="CI42" s="325" t="str">
        <f t="shared" si="7"/>
        <v/>
      </c>
      <c r="CJ42" s="325" t="str">
        <f t="shared" si="8"/>
        <v/>
      </c>
      <c r="CK42" s="325" t="str">
        <f t="shared" si="9"/>
        <v>X</v>
      </c>
      <c r="CL42" s="325" t="str">
        <f t="shared" si="10"/>
        <v/>
      </c>
      <c r="CM42" s="325" t="str">
        <f t="shared" si="11"/>
        <v/>
      </c>
      <c r="CN42" s="325" t="str">
        <f t="shared" si="4"/>
        <v/>
      </c>
    </row>
    <row r="43" spans="1:92">
      <c r="A43" s="308" t="s">
        <v>214</v>
      </c>
      <c r="B43" s="309" t="s">
        <v>584</v>
      </c>
      <c r="C43" s="310" t="str">
        <f>IF(BH43=1,3,IF(BI43=1,4,IF(BF43=1,1,IF(BJ43=1,5,IF(BG43=1,2,IF(BK43=1,6,IF(BL43=1,7,IF(BM43=1,8,IF(BN43=1,9,"-")))))))))</f>
        <v>-</v>
      </c>
      <c r="D43" s="310" t="str">
        <f>IF(AY43=1,3,IF(AZ43=1,4,IF(AW43=1,1,IF(BA43=1,5,IF(AX43=1,2,IF(BB43=1,6,IF(BC43=1,7,IF(BD43=1,8,IF(BE43=1,9,"-")))))))))</f>
        <v>-</v>
      </c>
      <c r="E43" s="310" t="str">
        <f>IF(OR(OR(O43="Very High",O43="High"),AND(OR(O43="Very High",O43="High",O43="Normal"),OR(P43="Very High",P43="High"))),"K","T")</f>
        <v>T</v>
      </c>
      <c r="F43" s="310" t="s">
        <v>102</v>
      </c>
      <c r="G43" s="310" t="s">
        <v>594</v>
      </c>
      <c r="H43" s="310" t="s">
        <v>385</v>
      </c>
      <c r="I43" s="310" t="s">
        <v>214</v>
      </c>
      <c r="J43" s="310">
        <v>25</v>
      </c>
      <c r="K43" s="310" t="s">
        <v>106</v>
      </c>
      <c r="L43" s="310" t="s">
        <v>106</v>
      </c>
      <c r="M43" s="310" t="s">
        <v>47</v>
      </c>
      <c r="N43" s="311" t="s">
        <v>47</v>
      </c>
      <c r="O43" s="310" t="s">
        <v>230</v>
      </c>
      <c r="P43" s="311" t="s">
        <v>230</v>
      </c>
      <c r="Q43" s="310">
        <v>5</v>
      </c>
      <c r="R43" s="310">
        <v>6</v>
      </c>
      <c r="S43" s="310">
        <v>5</v>
      </c>
      <c r="T43" s="310">
        <v>6</v>
      </c>
      <c r="U43" s="311">
        <v>4</v>
      </c>
      <c r="V43" s="310">
        <v>5</v>
      </c>
      <c r="W43" s="310">
        <v>6</v>
      </c>
      <c r="X43" s="310">
        <v>5</v>
      </c>
      <c r="Y43" s="310">
        <v>6</v>
      </c>
      <c r="Z43" s="311">
        <v>4</v>
      </c>
      <c r="AA43" s="310">
        <v>1</v>
      </c>
      <c r="AB43" s="310">
        <v>6</v>
      </c>
      <c r="AC43" s="310">
        <v>1</v>
      </c>
      <c r="AD43" s="310" t="s">
        <v>41</v>
      </c>
      <c r="AE43" s="310" t="s">
        <v>41</v>
      </c>
      <c r="AF43" s="310" t="s">
        <v>41</v>
      </c>
      <c r="AG43" s="310" t="s">
        <v>41</v>
      </c>
      <c r="AH43" s="310" t="s">
        <v>41</v>
      </c>
      <c r="AI43" s="310">
        <v>7</v>
      </c>
      <c r="AJ43" s="310">
        <v>7</v>
      </c>
      <c r="AK43" s="311">
        <v>8</v>
      </c>
      <c r="AL43" s="310">
        <v>7</v>
      </c>
      <c r="AM43" s="310">
        <v>8</v>
      </c>
      <c r="AN43" s="311">
        <v>7</v>
      </c>
      <c r="AO43" s="312" t="s">
        <v>41</v>
      </c>
      <c r="AP43" s="311">
        <v>0</v>
      </c>
      <c r="AQ43" s="313">
        <f>AVERAGE(Q43,S43,T43)+IF(OR(Q43&gt;7,AND(Q43&gt;5,T43&gt;5)),0.5,0)+IF(S43&gt;7,0.25,0)+IF(Q43&lt;6,-0.5*(6-Q43),0)</f>
        <v>4.833333333333333</v>
      </c>
      <c r="AR43" s="314" t="str">
        <f>IF(AQ43&gt;9,"SuperStar",IF(AQ43&gt;8,"Star",IF(AQ43&gt;6.5,"GoodReg",IF(AQ43&gt;5,"Reg",IF(AQ43&gt;4,"Bench","Minors")))))</f>
        <v>Bench</v>
      </c>
      <c r="AS43" s="313">
        <f>AVERAGE(V43,X43,Y43)+IF(OR(V43&gt;7,AND(V43&gt;5,Y43&gt;5)),0.5,0)+IF(X43&gt;7,0.25,0)+IF(V43&lt;6,-0.5*(6-V43),0)</f>
        <v>4.833333333333333</v>
      </c>
      <c r="AT43" s="313" t="str">
        <f>IF(AS43&gt;9,"SuperStar",IF(AS43&gt;8,"Star",IF(AS43&gt;6.5,"GoodReg",IF(AS43&gt;5,"Reg",IF(AS43&gt;4,"Bench","Minors")))))</f>
        <v>Bench</v>
      </c>
      <c r="AU43" s="314">
        <f>MIN(AQ43+(MAX(0,25-J43))^1.5,AS43)</f>
        <v>4.833333333333333</v>
      </c>
      <c r="AV43" s="314" t="str">
        <f>IF(AU43&gt;9,"SuperStar",IF(AU43&gt;8,"Star",IF(AU43&gt;6.5,"GoodReg",IF(AU43&gt;5,"Reg",IF(AU43&gt;4,"Bench","Minors")))))</f>
        <v>Bench</v>
      </c>
      <c r="AW43" s="315">
        <f>IF(AND(OR(Q43+T43&gt;12,AND(Q43&gt;6,T43&gt;6)),AL43&gt;6,OR(AM43&gt;=AL43,AM43&gt;6)),1,0)</f>
        <v>0</v>
      </c>
      <c r="AX43" s="316">
        <f>IF(OR(AND(Q43&gt;6,U43&gt;6),Q43+T43&gt;12),1,0)</f>
        <v>0</v>
      </c>
      <c r="AY43" s="316">
        <f>IF(AND(Q43&gt;6,S43&gt;6,T43&gt;6),1,0)</f>
        <v>0</v>
      </c>
      <c r="AZ43" s="316">
        <f>IF(AND(S43&gt;7,OR(Q43&gt;6,T43&gt;6)),1,0)</f>
        <v>0</v>
      </c>
      <c r="BA43" s="316">
        <f>IF(AND(S43&gt;6,OR(Q43&gt;6,T43&gt;6)),1,0)</f>
        <v>0</v>
      </c>
      <c r="BB43" s="316">
        <f>IF(AND(OR(Q43&gt;6,S43&gt;6),OR(Q43&gt;6,T43&gt;6)),1,0)</f>
        <v>0</v>
      </c>
      <c r="BC43" s="316">
        <f>IF(AND(Q43&gt;4,OR(Q43&gt;6,S43&gt;6,T43&gt;6)),1,0)</f>
        <v>0</v>
      </c>
      <c r="BD43" s="316">
        <f>IF(AND(Q43&gt;4,OR(Q43&gt;6,R43&gt;6,S43&gt;6,T43&gt;6)),1,0)</f>
        <v>0</v>
      </c>
      <c r="BE43" s="311">
        <f>IF(AND(Q43&gt;4,MAX(Q43:U43)&gt;6),1,0)</f>
        <v>0</v>
      </c>
      <c r="BF43" s="315">
        <f>IF(AND(OR(V43+Y43&gt;12,AND(V43&gt;6,Y43&gt;6)),AL43&gt;6,OR(AM43&gt;=AL43,AM43&gt;6)),1,0)</f>
        <v>0</v>
      </c>
      <c r="BG43" s="316">
        <f>IF(OR(AND(V43&gt;6,Z43&gt;6),V43+Y43&gt;12),1,0)</f>
        <v>0</v>
      </c>
      <c r="BH43" s="316">
        <f>IF(AND(V43&gt;6,X43&gt;6,Y43&gt;6),1,0)</f>
        <v>0</v>
      </c>
      <c r="BI43" s="316">
        <f>IF(AND(X43&gt;7,OR(V43&gt;6,Y43&gt;6)),1,0)</f>
        <v>0</v>
      </c>
      <c r="BJ43" s="316">
        <f>IF(AND(X43&gt;6,OR(V43&gt;6,Y43&gt;6)),1,0)</f>
        <v>0</v>
      </c>
      <c r="BK43" s="316">
        <f>IF(AND(OR(V43&gt;6,X43&gt;6),OR(V43&gt;6,Y43&gt;6)),1,0)</f>
        <v>0</v>
      </c>
      <c r="BL43" s="316">
        <f>IF(AND(V43&gt;4,OR(V43&gt;6,X43&gt;6,Y43&gt;6)),1,0)</f>
        <v>0</v>
      </c>
      <c r="BM43" s="316">
        <f>IF(AND(V43&gt;4,OR(V43&gt;6,W43&gt;6,X43&gt;6,Y43&gt;6)),1,0)</f>
        <v>0</v>
      </c>
      <c r="BN43" s="311">
        <f>IF(AND(V43&gt;4,MAX(V43:Z43)&gt;6),1,0)</f>
        <v>0</v>
      </c>
      <c r="BO43" s="311">
        <f>IF(AVERAGE(AL43:AM43)&gt;9,1,0)+IF(AVERAGE(AL43:AM43)&gt;7,1,0)+IF(AL43&gt;7,1,0)+IF(AM43&gt;7,1,0)+IF(AN43&gt;8,1,0)+IF(AN43&gt;6,1,0)</f>
        <v>3</v>
      </c>
      <c r="BP43" s="317">
        <f>IF(OR(MAX(AD43,AE43,AI43,AK43)&gt;6,MAX(AF43,AG43,AH43,AJ43)&gt;7),2,IF(MAX(AD43:AK43)&gt;4,1,0))</f>
        <v>2</v>
      </c>
      <c r="BQ43" s="310" t="str">
        <f>IF(AP43=1,"Yes","")</f>
        <v/>
      </c>
      <c r="BR43" s="309" t="str">
        <f>IF($A43="ML","There",IF(AND($V43&gt;=6,AVERAGE($X43:$Y43)&gt;=6),"Likely",IF(OR($V43&gt;6,AND($V43=6,AVERAGE($X43:$Y43)&gt;=3),AND($V43&gt;=5,AVERAGE($X43:$Y43)&gt;=5),AVERAGE($V43,$X43:$Y43)&gt;5),"Possible","Unlikely")))</f>
        <v>Possible</v>
      </c>
      <c r="BS43" s="310" t="str">
        <f>IF(OR(AND(Q43&gt;=6,S43+T43&gt;=12),Q43&gt;7),"Start",IF(AND(Q43&gt;=5,S43+T43&gt;=8),"Bench","aack!"))</f>
        <v>Bench</v>
      </c>
      <c r="BT43" s="310" t="str">
        <f>IF(OR(AND(V43&gt;=6,X43+Y43&gt;=12),V43&gt;7),"Start",IF(AND(V43&gt;=5,X43+Y43&gt;=8),"Bench","aack!"))</f>
        <v>Bench</v>
      </c>
      <c r="BU43" s="310" t="str">
        <f>IF(Q43&gt;5,"ML",IF(Q43=5,"AAA",IF(Q43=4,"AA",IF(Q43=3,"A","SS-A"))))</f>
        <v>AAA</v>
      </c>
      <c r="BV43" s="310">
        <f>Q43-V43</f>
        <v>0</v>
      </c>
      <c r="BW43" s="310">
        <f>R43-W43</f>
        <v>0</v>
      </c>
      <c r="BX43" s="310">
        <f>S43-X43</f>
        <v>0</v>
      </c>
      <c r="BY43" s="310">
        <f>T43-Y43</f>
        <v>0</v>
      </c>
      <c r="BZ43" s="310">
        <f>U43-Z43</f>
        <v>0</v>
      </c>
      <c r="CA43" s="310">
        <f>SUM(BV43:BZ43)</f>
        <v>0</v>
      </c>
      <c r="CB43" s="310">
        <f>V43+X43+Y43</f>
        <v>16</v>
      </c>
      <c r="CC43" s="310">
        <f>V43+X43</f>
        <v>10</v>
      </c>
      <c r="CD43" s="310">
        <f>V43+Y43</f>
        <v>11</v>
      </c>
      <c r="CE43" s="310" t="str">
        <f>IF(J43&gt;24,"Now - Age",IF(Q43&gt;6,"Now",IF(V43&lt;6,"With Dev",MIN(V43-Q43,7-Q43))))</f>
        <v>Now - Age</v>
      </c>
      <c r="CF43" s="325" t="str">
        <f t="shared" si="12"/>
        <v/>
      </c>
      <c r="CG43" s="325" t="str">
        <f t="shared" si="5"/>
        <v/>
      </c>
      <c r="CH43" s="325" t="str">
        <f t="shared" si="6"/>
        <v/>
      </c>
      <c r="CI43" s="325" t="str">
        <f t="shared" si="7"/>
        <v/>
      </c>
      <c r="CJ43" s="325" t="str">
        <f t="shared" si="8"/>
        <v/>
      </c>
      <c r="CK43" s="325" t="str">
        <f t="shared" si="9"/>
        <v>X</v>
      </c>
      <c r="CL43" s="325" t="str">
        <f t="shared" si="10"/>
        <v>X</v>
      </c>
      <c r="CM43" s="325" t="str">
        <f t="shared" si="11"/>
        <v/>
      </c>
      <c r="CN43" s="325" t="str">
        <f t="shared" si="4"/>
        <v/>
      </c>
    </row>
    <row r="44" spans="1:92">
      <c r="A44" s="308" t="s">
        <v>214</v>
      </c>
      <c r="B44" s="309" t="s">
        <v>97</v>
      </c>
      <c r="C44" s="310">
        <f>IF(BH44=1,3,IF(BI44=1,4,IF(BF44=1,1,IF(BJ44=1,5,IF(BG44=1,2,IF(BK44=1,6,IF(BL44=1,7,IF(BM44=1,8,IF(BN44=1,9,"-")))))))))</f>
        <v>2</v>
      </c>
      <c r="D44" s="310">
        <f>IF(AY44=1,3,IF(AZ44=1,4,IF(AW44=1,1,IF(BA44=1,5,IF(AX44=1,2,IF(BB44=1,6,IF(BC44=1,7,IF(BD44=1,8,IF(BE44=1,9,"-")))))))))</f>
        <v>6</v>
      </c>
      <c r="E44" s="310" t="str">
        <f>IF(OR(OR(O44="Very High",O44="High"),AND(OR(O44="Very High",O44="High",O44="Normal"),OR(P44="Very High",P44="High"))),"K","T")</f>
        <v>T</v>
      </c>
      <c r="F44" s="310" t="s">
        <v>97</v>
      </c>
      <c r="G44" s="310" t="s">
        <v>398</v>
      </c>
      <c r="H44" s="310" t="s">
        <v>385</v>
      </c>
      <c r="I44" s="310" t="s">
        <v>214</v>
      </c>
      <c r="J44" s="310">
        <v>21</v>
      </c>
      <c r="K44" s="310" t="s">
        <v>106</v>
      </c>
      <c r="L44" s="310" t="s">
        <v>106</v>
      </c>
      <c r="M44" s="310" t="s">
        <v>47</v>
      </c>
      <c r="N44" s="311" t="s">
        <v>47</v>
      </c>
      <c r="O44" s="310" t="s">
        <v>231</v>
      </c>
      <c r="P44" s="311" t="s">
        <v>231</v>
      </c>
      <c r="Q44" s="310">
        <v>7</v>
      </c>
      <c r="R44" s="310">
        <v>7</v>
      </c>
      <c r="S44" s="310">
        <v>2</v>
      </c>
      <c r="T44" s="310">
        <v>4</v>
      </c>
      <c r="U44" s="311">
        <v>5</v>
      </c>
      <c r="V44" s="310">
        <v>9</v>
      </c>
      <c r="W44" s="310">
        <v>7</v>
      </c>
      <c r="X44" s="310">
        <v>4</v>
      </c>
      <c r="Y44" s="310">
        <v>5</v>
      </c>
      <c r="Z44" s="311">
        <v>7</v>
      </c>
      <c r="AA44" s="310">
        <v>3</v>
      </c>
      <c r="AB44" s="310">
        <v>3</v>
      </c>
      <c r="AC44" s="310">
        <v>1</v>
      </c>
      <c r="AD44" s="310" t="s">
        <v>41</v>
      </c>
      <c r="AE44" s="310">
        <v>2</v>
      </c>
      <c r="AF44" s="310" t="s">
        <v>41</v>
      </c>
      <c r="AG44" s="310" t="s">
        <v>41</v>
      </c>
      <c r="AH44" s="310" t="s">
        <v>41</v>
      </c>
      <c r="AI44" s="310" t="s">
        <v>41</v>
      </c>
      <c r="AJ44" s="310" t="s">
        <v>41</v>
      </c>
      <c r="AK44" s="311" t="s">
        <v>41</v>
      </c>
      <c r="AL44" s="310">
        <v>3</v>
      </c>
      <c r="AM44" s="310">
        <v>3</v>
      </c>
      <c r="AN44" s="311">
        <v>2</v>
      </c>
      <c r="AO44" s="312" t="s">
        <v>41</v>
      </c>
      <c r="AP44" s="311">
        <v>0</v>
      </c>
      <c r="AQ44" s="313">
        <f>AVERAGE(Q44,S44,T44)+IF(OR(Q44&gt;7,AND(Q44&gt;5,T44&gt;5)),0.5,0)+IF(S44&gt;7,0.25,0)+IF(Q44&lt;6,-0.5*(6-Q44),0)</f>
        <v>4.333333333333333</v>
      </c>
      <c r="AR44" s="314" t="str">
        <f>IF(AQ44&gt;9,"SuperStar",IF(AQ44&gt;8,"Star",IF(AQ44&gt;6.5,"GoodReg",IF(AQ44&gt;5,"Reg",IF(AQ44&gt;4,"Bench","Minors")))))</f>
        <v>Bench</v>
      </c>
      <c r="AS44" s="313">
        <f>AVERAGE(V44,X44,Y44)+IF(OR(V44&gt;7,AND(V44&gt;5,Y44&gt;5)),0.5,0)+IF(X44&gt;7,0.25,0)+IF(V44&lt;6,-0.5*(6-V44),0)</f>
        <v>6.5</v>
      </c>
      <c r="AT44" s="313" t="str">
        <f>IF(AS44&gt;9,"SuperStar",IF(AS44&gt;8,"Star",IF(AS44&gt;6.5,"GoodReg",IF(AS44&gt;5,"Reg",IF(AS44&gt;4,"Bench","Minors")))))</f>
        <v>Reg</v>
      </c>
      <c r="AU44" s="314">
        <f>MIN(AQ44+(MAX(0,25-J44))^1.5,AS44)</f>
        <v>6.5</v>
      </c>
      <c r="AV44" s="314" t="str">
        <f>IF(AU44&gt;9,"SuperStar",IF(AU44&gt;8,"Star",IF(AU44&gt;6.5,"GoodReg",IF(AU44&gt;5,"Reg",IF(AU44&gt;4,"Bench","Minors")))))</f>
        <v>Reg</v>
      </c>
      <c r="AW44" s="315">
        <f>IF(AND(OR(Q44+T44&gt;12,AND(Q44&gt;6,T44&gt;6)),AL44&gt;6,OR(AM44&gt;=AL44,AM44&gt;6)),1,0)</f>
        <v>0</v>
      </c>
      <c r="AX44" s="316">
        <f>IF(OR(AND(Q44&gt;6,U44&gt;6),Q44+T44&gt;12),1,0)</f>
        <v>0</v>
      </c>
      <c r="AY44" s="316">
        <f>IF(AND(Q44&gt;6,S44&gt;6,T44&gt;6),1,0)</f>
        <v>0</v>
      </c>
      <c r="AZ44" s="316">
        <f>IF(AND(S44&gt;7,OR(Q44&gt;6,T44&gt;6)),1,0)</f>
        <v>0</v>
      </c>
      <c r="BA44" s="316">
        <f>IF(AND(S44&gt;6,OR(Q44&gt;6,T44&gt;6)),1,0)</f>
        <v>0</v>
      </c>
      <c r="BB44" s="316">
        <f>IF(AND(OR(Q44&gt;6,S44&gt;6),OR(Q44&gt;6,T44&gt;6)),1,0)</f>
        <v>1</v>
      </c>
      <c r="BC44" s="316">
        <f>IF(AND(Q44&gt;4,OR(Q44&gt;6,S44&gt;6,T44&gt;6)),1,0)</f>
        <v>1</v>
      </c>
      <c r="BD44" s="316">
        <f>IF(AND(Q44&gt;4,OR(Q44&gt;6,R44&gt;6,S44&gt;6,T44&gt;6)),1,0)</f>
        <v>1</v>
      </c>
      <c r="BE44" s="311">
        <f>IF(AND(Q44&gt;4,MAX(Q44:U44)&gt;6),1,0)</f>
        <v>1</v>
      </c>
      <c r="BF44" s="315">
        <f>IF(AND(OR(V44+Y44&gt;12,AND(V44&gt;6,Y44&gt;6)),AL44&gt;6,OR(AM44&gt;=AL44,AM44&gt;6)),1,0)</f>
        <v>0</v>
      </c>
      <c r="BG44" s="316">
        <f>IF(OR(AND(V44&gt;6,Z44&gt;6),V44+Y44&gt;12),1,0)</f>
        <v>1</v>
      </c>
      <c r="BH44" s="316">
        <f>IF(AND(V44&gt;6,X44&gt;6,Y44&gt;6),1,0)</f>
        <v>0</v>
      </c>
      <c r="BI44" s="316">
        <f>IF(AND(X44&gt;7,OR(V44&gt;6,Y44&gt;6)),1,0)</f>
        <v>0</v>
      </c>
      <c r="BJ44" s="316">
        <f>IF(AND(X44&gt;6,OR(V44&gt;6,Y44&gt;6)),1,0)</f>
        <v>0</v>
      </c>
      <c r="BK44" s="316">
        <f>IF(AND(OR(V44&gt;6,X44&gt;6),OR(V44&gt;6,Y44&gt;6)),1,0)</f>
        <v>1</v>
      </c>
      <c r="BL44" s="316">
        <f>IF(AND(V44&gt;4,OR(V44&gt;6,X44&gt;6,Y44&gt;6)),1,0)</f>
        <v>1</v>
      </c>
      <c r="BM44" s="316">
        <f>IF(AND(V44&gt;4,OR(V44&gt;6,W44&gt;6,X44&gt;6,Y44&gt;6)),1,0)</f>
        <v>1</v>
      </c>
      <c r="BN44" s="311">
        <f>IF(AND(V44&gt;4,MAX(V44:Z44)&gt;6),1,0)</f>
        <v>1</v>
      </c>
      <c r="BO44" s="311">
        <f>IF(AVERAGE(AL44:AM44)&gt;9,1,0)+IF(AVERAGE(AL44:AM44)&gt;7,1,0)+IF(AL44&gt;7,1,0)+IF(AM44&gt;7,1,0)+IF(AN44&gt;8,1,0)+IF(AN44&gt;6,1,0)</f>
        <v>0</v>
      </c>
      <c r="BP44" s="317">
        <f>IF(OR(MAX(AD44,AE44,AI44,AK44)&gt;6,MAX(AF44,AG44,AH44,AJ44)&gt;7),2,IF(MAX(AD44:AK44)&gt;4,1,0))</f>
        <v>0</v>
      </c>
      <c r="BQ44" s="310" t="str">
        <f>IF(AP44=1,"Yes","")</f>
        <v/>
      </c>
      <c r="BR44" s="309" t="str">
        <f>IF($A44="ML","There",IF(AND($V44&gt;=6,AVERAGE($X44:$Y44)&gt;=6),"Likely",IF(OR($V44&gt;6,AND($V44=6,AVERAGE($X44:$Y44)&gt;=3),AND($V44&gt;=5,AVERAGE($X44:$Y44)&gt;=5),AVERAGE($V44,$X44:$Y44)&gt;5),"Possible","Unlikely")))</f>
        <v>Possible</v>
      </c>
      <c r="BS44" s="310" t="str">
        <f>IF(OR(AND(Q44&gt;=6,S44+T44&gt;=12),Q44&gt;7),"Start",IF(AND(Q44&gt;=5,S44+T44&gt;=8),"Bench","aack!"))</f>
        <v>aack!</v>
      </c>
      <c r="BT44" s="310" t="str">
        <f>IF(OR(AND(V44&gt;=6,X44+Y44&gt;=12),V44&gt;7),"Start",IF(AND(V44&gt;=5,X44+Y44&gt;=8),"Bench","aack!"))</f>
        <v>Start</v>
      </c>
      <c r="BU44" s="310" t="str">
        <f>IF(Q44&gt;5,"ML",IF(Q44=5,"AAA",IF(Q44=4,"AA",IF(Q44=3,"A","SS-A"))))</f>
        <v>ML</v>
      </c>
      <c r="BV44" s="310">
        <f>Q44-V44</f>
        <v>-2</v>
      </c>
      <c r="BW44" s="310">
        <f>R44-W44</f>
        <v>0</v>
      </c>
      <c r="BX44" s="310">
        <f>S44-X44</f>
        <v>-2</v>
      </c>
      <c r="BY44" s="310">
        <f>T44-Y44</f>
        <v>-1</v>
      </c>
      <c r="BZ44" s="310">
        <f>U44-Z44</f>
        <v>-2</v>
      </c>
      <c r="CA44" s="310">
        <f>SUM(BV44:BZ44)</f>
        <v>-7</v>
      </c>
      <c r="CB44" s="310">
        <f>V44+X44+Y44</f>
        <v>18</v>
      </c>
      <c r="CC44" s="310">
        <f>V44+X44</f>
        <v>13</v>
      </c>
      <c r="CD44" s="310">
        <f>V44+Y44</f>
        <v>14</v>
      </c>
      <c r="CE44" s="310" t="str">
        <f>IF(J44&gt;24,"Now - Age",IF(Q44&gt;6,"Now",IF(V44&lt;6,"With Dev",MIN(V44-Q44,7-Q44))))</f>
        <v>Now</v>
      </c>
      <c r="CF44" s="325" t="str">
        <f t="shared" si="12"/>
        <v/>
      </c>
      <c r="CG44" s="325" t="str">
        <f t="shared" si="5"/>
        <v/>
      </c>
      <c r="CH44" s="325" t="str">
        <f t="shared" si="6"/>
        <v/>
      </c>
      <c r="CI44" s="325" t="str">
        <f t="shared" si="7"/>
        <v/>
      </c>
      <c r="CJ44" s="325" t="str">
        <f t="shared" si="8"/>
        <v/>
      </c>
      <c r="CK44" s="325" t="str">
        <f t="shared" si="9"/>
        <v/>
      </c>
      <c r="CL44" s="325" t="str">
        <f t="shared" si="10"/>
        <v/>
      </c>
      <c r="CM44" s="325" t="str">
        <f t="shared" si="11"/>
        <v/>
      </c>
      <c r="CN44" s="325" t="str">
        <f t="shared" si="4"/>
        <v>X</v>
      </c>
    </row>
    <row r="45" spans="1:92">
      <c r="A45" s="308" t="s">
        <v>214</v>
      </c>
      <c r="B45" s="309" t="s">
        <v>99</v>
      </c>
      <c r="C45" s="310">
        <f>IF(BH45=1,3,IF(BI45=1,4,IF(BF45=1,1,IF(BJ45=1,5,IF(BG45=1,2,IF(BK45=1,6,IF(BL45=1,7,IF(BM45=1,8,IF(BN45=1,9,"-")))))))))</f>
        <v>4</v>
      </c>
      <c r="D45" s="310" t="str">
        <f>IF(AY45=1,3,IF(AZ45=1,4,IF(AW45=1,1,IF(BA45=1,5,IF(AX45=1,2,IF(BB45=1,6,IF(BC45=1,7,IF(BD45=1,8,IF(BE45=1,9,"-")))))))))</f>
        <v>-</v>
      </c>
      <c r="E45" s="310" t="str">
        <f>IF(OR(OR(O45="Very High",O45="High"),AND(OR(O45="Very High",O45="High",O45="Normal"),OR(P45="Very High",P45="High"))),"K","T")</f>
        <v>T</v>
      </c>
      <c r="F45" s="310" t="s">
        <v>99</v>
      </c>
      <c r="G45" s="310" t="s">
        <v>401</v>
      </c>
      <c r="H45" s="310" t="s">
        <v>385</v>
      </c>
      <c r="I45" s="310" t="s">
        <v>214</v>
      </c>
      <c r="J45" s="310">
        <v>24</v>
      </c>
      <c r="K45" s="310" t="s">
        <v>107</v>
      </c>
      <c r="L45" s="310" t="s">
        <v>107</v>
      </c>
      <c r="M45" s="310" t="s">
        <v>47</v>
      </c>
      <c r="N45" s="311" t="s">
        <v>48</v>
      </c>
      <c r="O45" s="310" t="s">
        <v>230</v>
      </c>
      <c r="P45" s="311" t="s">
        <v>231</v>
      </c>
      <c r="Q45" s="310">
        <v>6</v>
      </c>
      <c r="R45" s="310">
        <v>5</v>
      </c>
      <c r="S45" s="310">
        <v>4</v>
      </c>
      <c r="T45" s="310">
        <v>3</v>
      </c>
      <c r="U45" s="311">
        <v>3</v>
      </c>
      <c r="V45" s="310">
        <v>9</v>
      </c>
      <c r="W45" s="310">
        <v>5</v>
      </c>
      <c r="X45" s="310">
        <v>8</v>
      </c>
      <c r="Y45" s="310">
        <v>5</v>
      </c>
      <c r="Z45" s="311">
        <v>5</v>
      </c>
      <c r="AA45" s="310">
        <v>9</v>
      </c>
      <c r="AB45" s="310">
        <v>9</v>
      </c>
      <c r="AC45" s="310">
        <v>1</v>
      </c>
      <c r="AD45" s="310" t="s">
        <v>41</v>
      </c>
      <c r="AE45" s="310">
        <v>7</v>
      </c>
      <c r="AF45" s="310" t="s">
        <v>41</v>
      </c>
      <c r="AG45" s="310">
        <v>8</v>
      </c>
      <c r="AH45" s="310" t="s">
        <v>41</v>
      </c>
      <c r="AI45" s="310">
        <v>4</v>
      </c>
      <c r="AJ45" s="310">
        <v>2</v>
      </c>
      <c r="AK45" s="311">
        <v>4</v>
      </c>
      <c r="AL45" s="310">
        <v>2</v>
      </c>
      <c r="AM45" s="310">
        <v>5</v>
      </c>
      <c r="AN45" s="311">
        <v>3</v>
      </c>
      <c r="AO45" s="312" t="s">
        <v>41</v>
      </c>
      <c r="AP45" s="311">
        <v>0</v>
      </c>
      <c r="AQ45" s="313">
        <f>AVERAGE(Q45,S45,T45)+IF(OR(Q45&gt;7,AND(Q45&gt;5,T45&gt;5)),0.5,0)+IF(S45&gt;7,0.25,0)+IF(Q45&lt;6,-0.5*(6-Q45),0)</f>
        <v>4.333333333333333</v>
      </c>
      <c r="AR45" s="314" t="str">
        <f>IF(AQ45&gt;9,"SuperStar",IF(AQ45&gt;8,"Star",IF(AQ45&gt;6.5,"GoodReg",IF(AQ45&gt;5,"Reg",IF(AQ45&gt;4,"Bench","Minors")))))</f>
        <v>Bench</v>
      </c>
      <c r="AS45" s="313">
        <f>AVERAGE(V45,X45,Y45)+IF(OR(V45&gt;7,AND(V45&gt;5,Y45&gt;5)),0.5,0)+IF(X45&gt;7,0.25,0)+IF(V45&lt;6,-0.5*(6-V45),0)</f>
        <v>8.0833333333333321</v>
      </c>
      <c r="AT45" s="313" t="str">
        <f>IF(AS45&gt;9,"SuperStar",IF(AS45&gt;8,"Star",IF(AS45&gt;6.5,"GoodReg",IF(AS45&gt;5,"Reg",IF(AS45&gt;4,"Bench","Minors")))))</f>
        <v>Star</v>
      </c>
      <c r="AU45" s="314">
        <f>MIN(AQ45+(MAX(0,25-J45))^1.5,AS45)</f>
        <v>5.333333333333333</v>
      </c>
      <c r="AV45" s="314" t="str">
        <f>IF(AU45&gt;9,"SuperStar",IF(AU45&gt;8,"Star",IF(AU45&gt;6.5,"GoodReg",IF(AU45&gt;5,"Reg",IF(AU45&gt;4,"Bench","Minors")))))</f>
        <v>Reg</v>
      </c>
      <c r="AW45" s="315">
        <f>IF(AND(OR(Q45+T45&gt;12,AND(Q45&gt;6,T45&gt;6)),AL45&gt;6,OR(AM45&gt;=AL45,AM45&gt;6)),1,0)</f>
        <v>0</v>
      </c>
      <c r="AX45" s="316">
        <f>IF(OR(AND(Q45&gt;6,U45&gt;6),Q45+T45&gt;12),1,0)</f>
        <v>0</v>
      </c>
      <c r="AY45" s="316">
        <f>IF(AND(Q45&gt;6,S45&gt;6,T45&gt;6),1,0)</f>
        <v>0</v>
      </c>
      <c r="AZ45" s="316">
        <f>IF(AND(S45&gt;7,OR(Q45&gt;6,T45&gt;6)),1,0)</f>
        <v>0</v>
      </c>
      <c r="BA45" s="316">
        <f>IF(AND(S45&gt;6,OR(Q45&gt;6,T45&gt;6)),1,0)</f>
        <v>0</v>
      </c>
      <c r="BB45" s="316">
        <f>IF(AND(OR(Q45&gt;6,S45&gt;6),OR(Q45&gt;6,T45&gt;6)),1,0)</f>
        <v>0</v>
      </c>
      <c r="BC45" s="316">
        <f>IF(AND(Q45&gt;4,OR(Q45&gt;6,S45&gt;6,T45&gt;6)),1,0)</f>
        <v>0</v>
      </c>
      <c r="BD45" s="316">
        <f>IF(AND(Q45&gt;4,OR(Q45&gt;6,R45&gt;6,S45&gt;6,T45&gt;6)),1,0)</f>
        <v>0</v>
      </c>
      <c r="BE45" s="311">
        <f>IF(AND(Q45&gt;4,MAX(Q45:U45)&gt;6),1,0)</f>
        <v>0</v>
      </c>
      <c r="BF45" s="315">
        <f>IF(AND(OR(V45+Y45&gt;12,AND(V45&gt;6,Y45&gt;6)),AL45&gt;6,OR(AM45&gt;=AL45,AM45&gt;6)),1,0)</f>
        <v>0</v>
      </c>
      <c r="BG45" s="316">
        <f>IF(OR(AND(V45&gt;6,Z45&gt;6),V45+Y45&gt;12),1,0)</f>
        <v>1</v>
      </c>
      <c r="BH45" s="316">
        <f>IF(AND(V45&gt;6,X45&gt;6,Y45&gt;6),1,0)</f>
        <v>0</v>
      </c>
      <c r="BI45" s="316">
        <f>IF(AND(X45&gt;7,OR(V45&gt;6,Y45&gt;6)),1,0)</f>
        <v>1</v>
      </c>
      <c r="BJ45" s="316">
        <f>IF(AND(X45&gt;6,OR(V45&gt;6,Y45&gt;6)),1,0)</f>
        <v>1</v>
      </c>
      <c r="BK45" s="316">
        <f>IF(AND(OR(V45&gt;6,X45&gt;6),OR(V45&gt;6,Y45&gt;6)),1,0)</f>
        <v>1</v>
      </c>
      <c r="BL45" s="316">
        <f>IF(AND(V45&gt;4,OR(V45&gt;6,X45&gt;6,Y45&gt;6)),1,0)</f>
        <v>1</v>
      </c>
      <c r="BM45" s="316">
        <f>IF(AND(V45&gt;4,OR(V45&gt;6,W45&gt;6,X45&gt;6,Y45&gt;6)),1,0)</f>
        <v>1</v>
      </c>
      <c r="BN45" s="311">
        <f>IF(AND(V45&gt;4,MAX(V45:Z45)&gt;6),1,0)</f>
        <v>1</v>
      </c>
      <c r="BO45" s="311">
        <f>IF(AVERAGE(AL45:AM45)&gt;9,1,0)+IF(AVERAGE(AL45:AM45)&gt;7,1,0)+IF(AL45&gt;7,1,0)+IF(AM45&gt;7,1,0)+IF(AN45&gt;8,1,0)+IF(AN45&gt;6,1,0)</f>
        <v>0</v>
      </c>
      <c r="BP45" s="317">
        <f>IF(OR(MAX(AD45,AE45,AI45,AK45)&gt;6,MAX(AF45,AG45,AH45,AJ45)&gt;7),2,IF(MAX(AD45:AK45)&gt;4,1,0))</f>
        <v>2</v>
      </c>
      <c r="BQ45" s="310" t="str">
        <f>IF(AP45=1,"Yes","")</f>
        <v/>
      </c>
      <c r="BR45" s="309" t="str">
        <f>IF($A45="ML","There",IF(AND($V45&gt;=6,AVERAGE($X45:$Y45)&gt;=6),"Likely",IF(OR($V45&gt;6,AND($V45=6,AVERAGE($X45:$Y45)&gt;=3),AND($V45&gt;=5,AVERAGE($X45:$Y45)&gt;=5),AVERAGE($V45,$X45:$Y45)&gt;5),"Possible","Unlikely")))</f>
        <v>Likely</v>
      </c>
      <c r="BS45" s="310" t="str">
        <f>IF(OR(AND(Q45&gt;=6,S45+T45&gt;=12),Q45&gt;7),"Start",IF(AND(Q45&gt;=5,S45+T45&gt;=8),"Bench","aack!"))</f>
        <v>aack!</v>
      </c>
      <c r="BT45" s="310" t="str">
        <f>IF(OR(AND(V45&gt;=6,X45+Y45&gt;=12),V45&gt;7),"Start",IF(AND(V45&gt;=5,X45+Y45&gt;=8),"Bench","aack!"))</f>
        <v>Start</v>
      </c>
      <c r="BU45" s="310" t="str">
        <f>IF(Q45&gt;5,"ML",IF(Q45=5,"AAA",IF(Q45=4,"AA",IF(Q45=3,"A","SS-A"))))</f>
        <v>ML</v>
      </c>
      <c r="BV45" s="310">
        <f>Q45-V45</f>
        <v>-3</v>
      </c>
      <c r="BW45" s="310">
        <f>R45-W45</f>
        <v>0</v>
      </c>
      <c r="BX45" s="310">
        <f>S45-X45</f>
        <v>-4</v>
      </c>
      <c r="BY45" s="310">
        <f>T45-Y45</f>
        <v>-2</v>
      </c>
      <c r="BZ45" s="310">
        <f>U45-Z45</f>
        <v>-2</v>
      </c>
      <c r="CA45" s="310">
        <f>SUM(BV45:BZ45)</f>
        <v>-11</v>
      </c>
      <c r="CB45" s="310">
        <f>V45+X45+Y45</f>
        <v>22</v>
      </c>
      <c r="CC45" s="310">
        <f>V45+X45</f>
        <v>17</v>
      </c>
      <c r="CD45" s="310">
        <f>V45+Y45</f>
        <v>14</v>
      </c>
      <c r="CE45" s="310">
        <f>IF(J45&gt;24,"Now - Age",IF(Q45&gt;6,"Now",IF(V45&lt;6,"With Dev",MIN(V45-Q45,7-Q45))))</f>
        <v>1</v>
      </c>
      <c r="CF45" s="325" t="str">
        <f t="shared" si="12"/>
        <v/>
      </c>
      <c r="CG45" s="325" t="str">
        <f t="shared" si="5"/>
        <v>X</v>
      </c>
      <c r="CH45" s="325" t="str">
        <f t="shared" si="6"/>
        <v/>
      </c>
      <c r="CI45" s="325" t="str">
        <f t="shared" si="7"/>
        <v>X</v>
      </c>
      <c r="CJ45" s="325" t="str">
        <f t="shared" si="8"/>
        <v/>
      </c>
      <c r="CK45" s="325" t="str">
        <f t="shared" si="9"/>
        <v>X</v>
      </c>
      <c r="CL45" s="325" t="str">
        <f t="shared" si="10"/>
        <v/>
      </c>
      <c r="CM45" s="325" t="str">
        <f t="shared" si="11"/>
        <v/>
      </c>
      <c r="CN45" s="325" t="str">
        <f t="shared" si="4"/>
        <v/>
      </c>
    </row>
    <row r="46" spans="1:92">
      <c r="A46" s="308" t="s">
        <v>214</v>
      </c>
      <c r="B46" s="309" t="s">
        <v>100</v>
      </c>
      <c r="C46" s="310" t="str">
        <f>IF(BH46=1,3,IF(BI46=1,4,IF(BF46=1,1,IF(BJ46=1,5,IF(BG46=1,2,IF(BK46=1,6,IF(BL46=1,7,IF(BM46=1,8,IF(BN46=1,9,"-")))))))))</f>
        <v>-</v>
      </c>
      <c r="D46" s="310" t="str">
        <f>IF(AY46=1,3,IF(AZ46=1,4,IF(AW46=1,1,IF(BA46=1,5,IF(AX46=1,2,IF(BB46=1,6,IF(BC46=1,7,IF(BD46=1,8,IF(BE46=1,9,"-")))))))))</f>
        <v>-</v>
      </c>
      <c r="E46" s="310" t="str">
        <f>IF(OR(OR(O46="Very High",O46="High"),AND(OR(O46="Very High",O46="High",O46="Normal"),OR(P46="Very High",P46="High"))),"K","T")</f>
        <v>K</v>
      </c>
      <c r="F46" s="310" t="s">
        <v>100</v>
      </c>
      <c r="G46" s="310" t="s">
        <v>460</v>
      </c>
      <c r="H46" s="310" t="s">
        <v>385</v>
      </c>
      <c r="I46" s="310" t="s">
        <v>214</v>
      </c>
      <c r="J46" s="310">
        <v>23</v>
      </c>
      <c r="K46" s="310" t="s">
        <v>107</v>
      </c>
      <c r="L46" s="310" t="s">
        <v>107</v>
      </c>
      <c r="M46" s="310" t="s">
        <v>47</v>
      </c>
      <c r="N46" s="311" t="s">
        <v>47</v>
      </c>
      <c r="O46" s="310" t="s">
        <v>228</v>
      </c>
      <c r="P46" s="311" t="s">
        <v>229</v>
      </c>
      <c r="Q46" s="310">
        <v>5</v>
      </c>
      <c r="R46" s="310">
        <v>6</v>
      </c>
      <c r="S46" s="310">
        <v>4</v>
      </c>
      <c r="T46" s="310">
        <v>5</v>
      </c>
      <c r="U46" s="311">
        <v>4</v>
      </c>
      <c r="V46" s="310">
        <v>5</v>
      </c>
      <c r="W46" s="310">
        <v>6</v>
      </c>
      <c r="X46" s="310">
        <v>5</v>
      </c>
      <c r="Y46" s="310">
        <v>6</v>
      </c>
      <c r="Z46" s="311">
        <v>4</v>
      </c>
      <c r="AA46" s="310">
        <v>9</v>
      </c>
      <c r="AB46" s="310">
        <v>8</v>
      </c>
      <c r="AC46" s="310">
        <v>1</v>
      </c>
      <c r="AD46" s="310" t="s">
        <v>41</v>
      </c>
      <c r="AE46" s="310">
        <v>9</v>
      </c>
      <c r="AF46" s="310">
        <v>6</v>
      </c>
      <c r="AG46" s="310">
        <v>8</v>
      </c>
      <c r="AH46" s="310">
        <v>7</v>
      </c>
      <c r="AI46" s="310">
        <v>6</v>
      </c>
      <c r="AJ46" s="310" t="s">
        <v>41</v>
      </c>
      <c r="AK46" s="311" t="s">
        <v>41</v>
      </c>
      <c r="AL46" s="310">
        <v>7</v>
      </c>
      <c r="AM46" s="310">
        <v>8</v>
      </c>
      <c r="AN46" s="311">
        <v>7</v>
      </c>
      <c r="AO46" s="312" t="s">
        <v>41</v>
      </c>
      <c r="AP46" s="311">
        <v>0</v>
      </c>
      <c r="AQ46" s="313">
        <f>AVERAGE(Q46,S46,T46)+IF(OR(Q46&gt;7,AND(Q46&gt;5,T46&gt;5)),0.5,0)+IF(S46&gt;7,0.25,0)+IF(Q46&lt;6,-0.5*(6-Q46),0)</f>
        <v>4.166666666666667</v>
      </c>
      <c r="AR46" s="314" t="str">
        <f>IF(AQ46&gt;9,"SuperStar",IF(AQ46&gt;8,"Star",IF(AQ46&gt;6.5,"GoodReg",IF(AQ46&gt;5,"Reg",IF(AQ46&gt;4,"Bench","Minors")))))</f>
        <v>Bench</v>
      </c>
      <c r="AS46" s="313">
        <f>AVERAGE(V46,X46,Y46)+IF(OR(V46&gt;7,AND(V46&gt;5,Y46&gt;5)),0.5,0)+IF(X46&gt;7,0.25,0)+IF(V46&lt;6,-0.5*(6-V46),0)</f>
        <v>4.833333333333333</v>
      </c>
      <c r="AT46" s="313" t="str">
        <f>IF(AS46&gt;9,"SuperStar",IF(AS46&gt;8,"Star",IF(AS46&gt;6.5,"GoodReg",IF(AS46&gt;5,"Reg",IF(AS46&gt;4,"Bench","Minors")))))</f>
        <v>Bench</v>
      </c>
      <c r="AU46" s="314">
        <f>MIN(AQ46+(MAX(0,25-J46))^1.5,AS46)</f>
        <v>4.833333333333333</v>
      </c>
      <c r="AV46" s="314" t="str">
        <f>IF(AU46&gt;9,"SuperStar",IF(AU46&gt;8,"Star",IF(AU46&gt;6.5,"GoodReg",IF(AU46&gt;5,"Reg",IF(AU46&gt;4,"Bench","Minors")))))</f>
        <v>Bench</v>
      </c>
      <c r="AW46" s="315">
        <f>IF(AND(OR(Q46+T46&gt;12,AND(Q46&gt;6,T46&gt;6)),AL46&gt;6,OR(AM46&gt;=AL46,AM46&gt;6)),1,0)</f>
        <v>0</v>
      </c>
      <c r="AX46" s="316">
        <f>IF(OR(AND(Q46&gt;6,U46&gt;6),Q46+T46&gt;12),1,0)</f>
        <v>0</v>
      </c>
      <c r="AY46" s="316">
        <f>IF(AND(Q46&gt;6,S46&gt;6,T46&gt;6),1,0)</f>
        <v>0</v>
      </c>
      <c r="AZ46" s="316">
        <f>IF(AND(S46&gt;7,OR(Q46&gt;6,T46&gt;6)),1,0)</f>
        <v>0</v>
      </c>
      <c r="BA46" s="316">
        <f>IF(AND(S46&gt;6,OR(Q46&gt;6,T46&gt;6)),1,0)</f>
        <v>0</v>
      </c>
      <c r="BB46" s="316">
        <f>IF(AND(OR(Q46&gt;6,S46&gt;6),OR(Q46&gt;6,T46&gt;6)),1,0)</f>
        <v>0</v>
      </c>
      <c r="BC46" s="316">
        <f>IF(AND(Q46&gt;4,OR(Q46&gt;6,S46&gt;6,T46&gt;6)),1,0)</f>
        <v>0</v>
      </c>
      <c r="BD46" s="316">
        <f>IF(AND(Q46&gt;4,OR(Q46&gt;6,R46&gt;6,S46&gt;6,T46&gt;6)),1,0)</f>
        <v>0</v>
      </c>
      <c r="BE46" s="311">
        <f>IF(AND(Q46&gt;4,MAX(Q46:U46)&gt;6),1,0)</f>
        <v>0</v>
      </c>
      <c r="BF46" s="315">
        <f>IF(AND(OR(V46+Y46&gt;12,AND(V46&gt;6,Y46&gt;6)),AL46&gt;6,OR(AM46&gt;=AL46,AM46&gt;6)),1,0)</f>
        <v>0</v>
      </c>
      <c r="BG46" s="316">
        <f>IF(OR(AND(V46&gt;6,Z46&gt;6),V46+Y46&gt;12),1,0)</f>
        <v>0</v>
      </c>
      <c r="BH46" s="316">
        <f>IF(AND(V46&gt;6,X46&gt;6,Y46&gt;6),1,0)</f>
        <v>0</v>
      </c>
      <c r="BI46" s="316">
        <f>IF(AND(X46&gt;7,OR(V46&gt;6,Y46&gt;6)),1,0)</f>
        <v>0</v>
      </c>
      <c r="BJ46" s="316">
        <f>IF(AND(X46&gt;6,OR(V46&gt;6,Y46&gt;6)),1,0)</f>
        <v>0</v>
      </c>
      <c r="BK46" s="316">
        <f>IF(AND(OR(V46&gt;6,X46&gt;6),OR(V46&gt;6,Y46&gt;6)),1,0)</f>
        <v>0</v>
      </c>
      <c r="BL46" s="316">
        <f>IF(AND(V46&gt;4,OR(V46&gt;6,X46&gt;6,Y46&gt;6)),1,0)</f>
        <v>0</v>
      </c>
      <c r="BM46" s="316">
        <f>IF(AND(V46&gt;4,OR(V46&gt;6,W46&gt;6,X46&gt;6,Y46&gt;6)),1,0)</f>
        <v>0</v>
      </c>
      <c r="BN46" s="311">
        <f>IF(AND(V46&gt;4,MAX(V46:Z46)&gt;6),1,0)</f>
        <v>0</v>
      </c>
      <c r="BO46" s="311">
        <f>IF(AVERAGE(AL46:AM46)&gt;9,1,0)+IF(AVERAGE(AL46:AM46)&gt;7,1,0)+IF(AL46&gt;7,1,0)+IF(AM46&gt;7,1,0)+IF(AN46&gt;8,1,0)+IF(AN46&gt;6,1,0)</f>
        <v>3</v>
      </c>
      <c r="BP46" s="317">
        <f>IF(OR(MAX(AD46,AE46,AI46,AK46)&gt;6,MAX(AF46,AG46,AH46,AJ46)&gt;7),2,IF(MAX(AD46:AK46)&gt;4,1,0))</f>
        <v>2</v>
      </c>
      <c r="BQ46" s="310" t="str">
        <f>IF(AP46=1,"Yes","")</f>
        <v/>
      </c>
      <c r="BR46" s="309" t="str">
        <f>IF($A46="ML","There",IF(AND($V46&gt;=6,AVERAGE($X46:$Y46)&gt;=6),"Likely",IF(OR($V46&gt;6,AND($V46=6,AVERAGE($X46:$Y46)&gt;=3),AND($V46&gt;=5,AVERAGE($X46:$Y46)&gt;=5),AVERAGE($V46,$X46:$Y46)&gt;5),"Possible","Unlikely")))</f>
        <v>Possible</v>
      </c>
      <c r="BS46" s="310" t="str">
        <f>IF(OR(AND(Q46&gt;=6,S46+T46&gt;=12),Q46&gt;7),"Start",IF(AND(Q46&gt;=5,S46+T46&gt;=8),"Bench","aack!"))</f>
        <v>Bench</v>
      </c>
      <c r="BT46" s="310" t="str">
        <f>IF(OR(AND(V46&gt;=6,X46+Y46&gt;=12),V46&gt;7),"Start",IF(AND(V46&gt;=5,X46+Y46&gt;=8),"Bench","aack!"))</f>
        <v>Bench</v>
      </c>
      <c r="BU46" s="310" t="str">
        <f>IF(Q46&gt;5,"ML",IF(Q46=5,"AAA",IF(Q46=4,"AA",IF(Q46=3,"A","SS-A"))))</f>
        <v>AAA</v>
      </c>
      <c r="BV46" s="310">
        <f>Q46-V46</f>
        <v>0</v>
      </c>
      <c r="BW46" s="310">
        <f>R46-W46</f>
        <v>0</v>
      </c>
      <c r="BX46" s="310">
        <f>S46-X46</f>
        <v>-1</v>
      </c>
      <c r="BY46" s="310">
        <f>T46-Y46</f>
        <v>-1</v>
      </c>
      <c r="BZ46" s="310">
        <f>U46-Z46</f>
        <v>0</v>
      </c>
      <c r="CA46" s="310">
        <f>SUM(BV46:BZ46)</f>
        <v>-2</v>
      </c>
      <c r="CB46" s="310">
        <f>V46+X46+Y46</f>
        <v>16</v>
      </c>
      <c r="CC46" s="310">
        <f>V46+X46</f>
        <v>10</v>
      </c>
      <c r="CD46" s="310">
        <f>V46+Y46</f>
        <v>11</v>
      </c>
      <c r="CE46" s="310" t="str">
        <f>IF(J46&gt;24,"Now - Age",IF(Q46&gt;6,"Now",IF(V46&lt;6,"With Dev",MIN(V46-Q46,7-Q46))))</f>
        <v>With Dev</v>
      </c>
      <c r="CF46" s="325" t="str">
        <f t="shared" si="12"/>
        <v/>
      </c>
      <c r="CG46" s="325" t="str">
        <f t="shared" si="5"/>
        <v>X</v>
      </c>
      <c r="CH46" s="325" t="str">
        <f t="shared" si="6"/>
        <v>X</v>
      </c>
      <c r="CI46" s="325" t="str">
        <f t="shared" si="7"/>
        <v>X</v>
      </c>
      <c r="CJ46" s="325" t="str">
        <f t="shared" si="8"/>
        <v>X</v>
      </c>
      <c r="CK46" s="325" t="str">
        <f t="shared" si="9"/>
        <v>X</v>
      </c>
      <c r="CL46" s="325" t="str">
        <f t="shared" si="10"/>
        <v/>
      </c>
      <c r="CM46" s="325" t="str">
        <f t="shared" si="11"/>
        <v/>
      </c>
      <c r="CN46" s="325" t="str">
        <f t="shared" si="4"/>
        <v/>
      </c>
    </row>
    <row r="47" spans="1:92">
      <c r="A47" s="308" t="s">
        <v>214</v>
      </c>
      <c r="B47" s="309" t="s">
        <v>103</v>
      </c>
      <c r="C47" s="310" t="str">
        <f>IF(BH47=1,3,IF(BI47=1,4,IF(BF47=1,1,IF(BJ47=1,5,IF(BG47=1,2,IF(BK47=1,6,IF(BL47=1,7,IF(BM47=1,8,IF(BN47=1,9,"-")))))))))</f>
        <v>-</v>
      </c>
      <c r="D47" s="310" t="str">
        <f>IF(AY47=1,3,IF(AZ47=1,4,IF(AW47=1,1,IF(BA47=1,5,IF(AX47=1,2,IF(BB47=1,6,IF(BC47=1,7,IF(BD47=1,8,IF(BE47=1,9,"-")))))))))</f>
        <v>-</v>
      </c>
      <c r="E47" s="310" t="str">
        <f>IF(OR(OR(O47="Very High",O47="High"),AND(OR(O47="Very High",O47="High",O47="Normal"),OR(P47="Very High",P47="High"))),"K","T")</f>
        <v>K</v>
      </c>
      <c r="F47" s="310" t="s">
        <v>103</v>
      </c>
      <c r="G47" s="310" t="s">
        <v>250</v>
      </c>
      <c r="H47" s="310" t="s">
        <v>385</v>
      </c>
      <c r="I47" s="310" t="s">
        <v>214</v>
      </c>
      <c r="J47" s="310">
        <v>26</v>
      </c>
      <c r="K47" s="310" t="s">
        <v>107</v>
      </c>
      <c r="L47" s="310" t="s">
        <v>107</v>
      </c>
      <c r="M47" s="310" t="s">
        <v>47</v>
      </c>
      <c r="N47" s="311" t="s">
        <v>47</v>
      </c>
      <c r="O47" s="310" t="s">
        <v>228</v>
      </c>
      <c r="P47" s="311" t="s">
        <v>229</v>
      </c>
      <c r="Q47" s="310">
        <v>5</v>
      </c>
      <c r="R47" s="310">
        <v>5</v>
      </c>
      <c r="S47" s="310">
        <v>4</v>
      </c>
      <c r="T47" s="310">
        <v>5</v>
      </c>
      <c r="U47" s="311">
        <v>5</v>
      </c>
      <c r="V47" s="310">
        <v>5</v>
      </c>
      <c r="W47" s="310">
        <v>5</v>
      </c>
      <c r="X47" s="310">
        <v>4</v>
      </c>
      <c r="Y47" s="310">
        <v>6</v>
      </c>
      <c r="Z47" s="311">
        <v>5</v>
      </c>
      <c r="AA47" s="310">
        <v>1</v>
      </c>
      <c r="AB47" s="310">
        <v>9</v>
      </c>
      <c r="AC47" s="310">
        <v>1</v>
      </c>
      <c r="AD47" s="310" t="s">
        <v>41</v>
      </c>
      <c r="AE47" s="310" t="s">
        <v>41</v>
      </c>
      <c r="AF47" s="310" t="s">
        <v>41</v>
      </c>
      <c r="AG47" s="310" t="s">
        <v>41</v>
      </c>
      <c r="AH47" s="310" t="s">
        <v>41</v>
      </c>
      <c r="AI47" s="310">
        <v>9</v>
      </c>
      <c r="AJ47" s="310">
        <v>3</v>
      </c>
      <c r="AK47" s="311">
        <v>8</v>
      </c>
      <c r="AL47" s="310">
        <v>5</v>
      </c>
      <c r="AM47" s="310">
        <v>6</v>
      </c>
      <c r="AN47" s="311">
        <v>4</v>
      </c>
      <c r="AO47" s="312" t="s">
        <v>41</v>
      </c>
      <c r="AP47" s="311">
        <v>0</v>
      </c>
      <c r="AQ47" s="313">
        <f>AVERAGE(Q47,S47,T47)+IF(OR(Q47&gt;7,AND(Q47&gt;5,T47&gt;5)),0.5,0)+IF(S47&gt;7,0.25,0)+IF(Q47&lt;6,-0.5*(6-Q47),0)</f>
        <v>4.166666666666667</v>
      </c>
      <c r="AR47" s="314" t="str">
        <f>IF(AQ47&gt;9,"SuperStar",IF(AQ47&gt;8,"Star",IF(AQ47&gt;6.5,"GoodReg",IF(AQ47&gt;5,"Reg",IF(AQ47&gt;4,"Bench","Minors")))))</f>
        <v>Bench</v>
      </c>
      <c r="AS47" s="313">
        <f>AVERAGE(V47,X47,Y47)+IF(OR(V47&gt;7,AND(V47&gt;5,Y47&gt;5)),0.5,0)+IF(X47&gt;7,0.25,0)+IF(V47&lt;6,-0.5*(6-V47),0)</f>
        <v>4.5</v>
      </c>
      <c r="AT47" s="313" t="str">
        <f>IF(AS47&gt;9,"SuperStar",IF(AS47&gt;8,"Star",IF(AS47&gt;6.5,"GoodReg",IF(AS47&gt;5,"Reg",IF(AS47&gt;4,"Bench","Minors")))))</f>
        <v>Bench</v>
      </c>
      <c r="AU47" s="314">
        <f>MIN(AQ47+(MAX(0,25-J47))^1.5,AS47)</f>
        <v>4.166666666666667</v>
      </c>
      <c r="AV47" s="314" t="str">
        <f>IF(AU47&gt;9,"SuperStar",IF(AU47&gt;8,"Star",IF(AU47&gt;6.5,"GoodReg",IF(AU47&gt;5,"Reg",IF(AU47&gt;4,"Bench","Minors")))))</f>
        <v>Bench</v>
      </c>
      <c r="AW47" s="315">
        <f>IF(AND(OR(Q47+T47&gt;12,AND(Q47&gt;6,T47&gt;6)),AL47&gt;6,OR(AM47&gt;=AL47,AM47&gt;6)),1,0)</f>
        <v>0</v>
      </c>
      <c r="AX47" s="316">
        <f>IF(OR(AND(Q47&gt;6,U47&gt;6),Q47+T47&gt;12),1,0)</f>
        <v>0</v>
      </c>
      <c r="AY47" s="316">
        <f>IF(AND(Q47&gt;6,S47&gt;6,T47&gt;6),1,0)</f>
        <v>0</v>
      </c>
      <c r="AZ47" s="316">
        <f>IF(AND(S47&gt;7,OR(Q47&gt;6,T47&gt;6)),1,0)</f>
        <v>0</v>
      </c>
      <c r="BA47" s="316">
        <f>IF(AND(S47&gt;6,OR(Q47&gt;6,T47&gt;6)),1,0)</f>
        <v>0</v>
      </c>
      <c r="BB47" s="316">
        <f>IF(AND(OR(Q47&gt;6,S47&gt;6),OR(Q47&gt;6,T47&gt;6)),1,0)</f>
        <v>0</v>
      </c>
      <c r="BC47" s="316">
        <f>IF(AND(Q47&gt;4,OR(Q47&gt;6,S47&gt;6,T47&gt;6)),1,0)</f>
        <v>0</v>
      </c>
      <c r="BD47" s="316">
        <f>IF(AND(Q47&gt;4,OR(Q47&gt;6,R47&gt;6,S47&gt;6,T47&gt;6)),1,0)</f>
        <v>0</v>
      </c>
      <c r="BE47" s="311">
        <f>IF(AND(Q47&gt;4,MAX(Q47:U47)&gt;6),1,0)</f>
        <v>0</v>
      </c>
      <c r="BF47" s="315">
        <f>IF(AND(OR(V47+Y47&gt;12,AND(V47&gt;6,Y47&gt;6)),AL47&gt;6,OR(AM47&gt;=AL47,AM47&gt;6)),1,0)</f>
        <v>0</v>
      </c>
      <c r="BG47" s="316">
        <f>IF(OR(AND(V47&gt;6,Z47&gt;6),V47+Y47&gt;12),1,0)</f>
        <v>0</v>
      </c>
      <c r="BH47" s="316">
        <f>IF(AND(V47&gt;6,X47&gt;6,Y47&gt;6),1,0)</f>
        <v>0</v>
      </c>
      <c r="BI47" s="316">
        <f>IF(AND(X47&gt;7,OR(V47&gt;6,Y47&gt;6)),1,0)</f>
        <v>0</v>
      </c>
      <c r="BJ47" s="316">
        <f>IF(AND(X47&gt;6,OR(V47&gt;6,Y47&gt;6)),1,0)</f>
        <v>0</v>
      </c>
      <c r="BK47" s="316">
        <f>IF(AND(OR(V47&gt;6,X47&gt;6),OR(V47&gt;6,Y47&gt;6)),1,0)</f>
        <v>0</v>
      </c>
      <c r="BL47" s="316">
        <f>IF(AND(V47&gt;4,OR(V47&gt;6,X47&gt;6,Y47&gt;6)),1,0)</f>
        <v>0</v>
      </c>
      <c r="BM47" s="316">
        <f>IF(AND(V47&gt;4,OR(V47&gt;6,W47&gt;6,X47&gt;6,Y47&gt;6)),1,0)</f>
        <v>0</v>
      </c>
      <c r="BN47" s="311">
        <f>IF(AND(V47&gt;4,MAX(V47:Z47)&gt;6),1,0)</f>
        <v>0</v>
      </c>
      <c r="BO47" s="311">
        <f>IF(AVERAGE(AL47:AM47)&gt;9,1,0)+IF(AVERAGE(AL47:AM47)&gt;7,1,0)+IF(AL47&gt;7,1,0)+IF(AM47&gt;7,1,0)+IF(AN47&gt;8,1,0)+IF(AN47&gt;6,1,0)</f>
        <v>0</v>
      </c>
      <c r="BP47" s="317">
        <f>IF(OR(MAX(AD47,AE47,AI47,AK47)&gt;6,MAX(AF47,AG47,AH47,AJ47)&gt;7),2,IF(MAX(AD47:AK47)&gt;4,1,0))</f>
        <v>2</v>
      </c>
      <c r="BQ47" s="310" t="str">
        <f>IF(AP47=1,"Yes","")</f>
        <v/>
      </c>
      <c r="BR47" s="309" t="str">
        <f>IF($A47="ML","There",IF(AND($V47&gt;=6,AVERAGE($X47:$Y47)&gt;=6),"Likely",IF(OR($V47&gt;6,AND($V47=6,AVERAGE($X47:$Y47)&gt;=3),AND($V47&gt;=5,AVERAGE($X47:$Y47)&gt;=5),AVERAGE($V47,$X47:$Y47)&gt;5),"Possible","Unlikely")))</f>
        <v>Possible</v>
      </c>
      <c r="BS47" s="310" t="str">
        <f>IF(OR(AND(Q47&gt;=6,S47+T47&gt;=12),Q47&gt;7),"Start",IF(AND(Q47&gt;=5,S47+T47&gt;=8),"Bench","aack!"))</f>
        <v>Bench</v>
      </c>
      <c r="BT47" s="310" t="str">
        <f>IF(OR(AND(V47&gt;=6,X47+Y47&gt;=12),V47&gt;7),"Start",IF(AND(V47&gt;=5,X47+Y47&gt;=8),"Bench","aack!"))</f>
        <v>Bench</v>
      </c>
      <c r="BU47" s="310" t="str">
        <f>IF(Q47&gt;5,"ML",IF(Q47=5,"AAA",IF(Q47=4,"AA",IF(Q47=3,"A","SS-A"))))</f>
        <v>AAA</v>
      </c>
      <c r="BV47" s="310">
        <f>Q47-V47</f>
        <v>0</v>
      </c>
      <c r="BW47" s="310">
        <f>R47-W47</f>
        <v>0</v>
      </c>
      <c r="BX47" s="310">
        <f>S47-X47</f>
        <v>0</v>
      </c>
      <c r="BY47" s="310">
        <f>T47-Y47</f>
        <v>-1</v>
      </c>
      <c r="BZ47" s="310">
        <f>U47-Z47</f>
        <v>0</v>
      </c>
      <c r="CA47" s="310">
        <f>SUM(BV47:BZ47)</f>
        <v>-1</v>
      </c>
      <c r="CB47" s="310">
        <f>V47+X47+Y47</f>
        <v>15</v>
      </c>
      <c r="CC47" s="310">
        <f>V47+X47</f>
        <v>9</v>
      </c>
      <c r="CD47" s="310">
        <f>V47+Y47</f>
        <v>11</v>
      </c>
      <c r="CE47" s="310" t="str">
        <f>IF(J47&gt;24,"Now - Age",IF(Q47&gt;6,"Now",IF(V47&lt;6,"With Dev",MIN(V47-Q47,7-Q47))))</f>
        <v>Now - Age</v>
      </c>
      <c r="CF47" s="325" t="str">
        <f t="shared" si="12"/>
        <v/>
      </c>
      <c r="CG47" s="325" t="str">
        <f t="shared" si="5"/>
        <v/>
      </c>
      <c r="CH47" s="325" t="str">
        <f t="shared" si="6"/>
        <v/>
      </c>
      <c r="CI47" s="325" t="str">
        <f t="shared" si="7"/>
        <v/>
      </c>
      <c r="CJ47" s="325" t="str">
        <f t="shared" si="8"/>
        <v/>
      </c>
      <c r="CK47" s="325" t="str">
        <f t="shared" si="9"/>
        <v>X</v>
      </c>
      <c r="CL47" s="325" t="str">
        <f t="shared" si="10"/>
        <v/>
      </c>
      <c r="CM47" s="325" t="str">
        <f t="shared" si="11"/>
        <v>X</v>
      </c>
      <c r="CN47" s="325" t="str">
        <f t="shared" si="4"/>
        <v/>
      </c>
    </row>
    <row r="48" spans="1:92">
      <c r="A48" s="308" t="s">
        <v>214</v>
      </c>
      <c r="B48" s="309" t="s">
        <v>95</v>
      </c>
      <c r="C48" s="310" t="str">
        <f>IF(BH48=1,3,IF(BI48=1,4,IF(BF48=1,1,IF(BJ48=1,5,IF(BG48=1,2,IF(BK48=1,6,IF(BL48=1,7,IF(BM48=1,8,IF(BN48=1,9,"-")))))))))</f>
        <v>-</v>
      </c>
      <c r="D48" s="310" t="str">
        <f>IF(AY48=1,3,IF(AZ48=1,4,IF(AW48=1,1,IF(BA48=1,5,IF(AX48=1,2,IF(BB48=1,6,IF(BC48=1,7,IF(BD48=1,8,IF(BE48=1,9,"-")))))))))</f>
        <v>-</v>
      </c>
      <c r="E48" s="310" t="str">
        <f>IF(OR(OR(O48="Very High",O48="High"),AND(OR(O48="Very High",O48="High",O48="Normal"),OR(P48="Very High",P48="High"))),"K","T")</f>
        <v>T</v>
      </c>
      <c r="F48" s="310" t="s">
        <v>95</v>
      </c>
      <c r="G48" s="310" t="s">
        <v>504</v>
      </c>
      <c r="H48" s="310" t="s">
        <v>385</v>
      </c>
      <c r="I48" s="310" t="s">
        <v>214</v>
      </c>
      <c r="J48" s="310">
        <v>23</v>
      </c>
      <c r="K48" s="310" t="s">
        <v>107</v>
      </c>
      <c r="L48" s="310" t="s">
        <v>107</v>
      </c>
      <c r="M48" s="310" t="s">
        <v>47</v>
      </c>
      <c r="N48" s="311" t="s">
        <v>47</v>
      </c>
      <c r="O48" s="310" t="s">
        <v>232</v>
      </c>
      <c r="P48" s="311" t="s">
        <v>230</v>
      </c>
      <c r="Q48" s="310">
        <v>5</v>
      </c>
      <c r="R48" s="310">
        <v>3</v>
      </c>
      <c r="S48" s="310">
        <v>4</v>
      </c>
      <c r="T48" s="310">
        <v>4</v>
      </c>
      <c r="U48" s="311">
        <v>4</v>
      </c>
      <c r="V48" s="310">
        <v>5</v>
      </c>
      <c r="W48" s="310">
        <v>3</v>
      </c>
      <c r="X48" s="310">
        <v>5</v>
      </c>
      <c r="Y48" s="310">
        <v>4</v>
      </c>
      <c r="Z48" s="311">
        <v>4</v>
      </c>
      <c r="AA48" s="310">
        <v>6</v>
      </c>
      <c r="AB48" s="310">
        <v>6</v>
      </c>
      <c r="AC48" s="310">
        <v>8</v>
      </c>
      <c r="AD48" s="310">
        <v>4</v>
      </c>
      <c r="AE48" s="310" t="s">
        <v>41</v>
      </c>
      <c r="AF48" s="310" t="s">
        <v>41</v>
      </c>
      <c r="AG48" s="310" t="s">
        <v>41</v>
      </c>
      <c r="AH48" s="310" t="s">
        <v>41</v>
      </c>
      <c r="AI48" s="310">
        <v>2</v>
      </c>
      <c r="AJ48" s="310" t="s">
        <v>41</v>
      </c>
      <c r="AK48" s="311" t="s">
        <v>41</v>
      </c>
      <c r="AL48" s="310">
        <v>2</v>
      </c>
      <c r="AM48" s="310">
        <v>3</v>
      </c>
      <c r="AN48" s="311">
        <v>1</v>
      </c>
      <c r="AO48" s="312" t="s">
        <v>41</v>
      </c>
      <c r="AP48" s="311" t="s">
        <v>45</v>
      </c>
      <c r="AQ48" s="313">
        <f>AVERAGE(Q48,S48,T48)+IF(OR(Q48&gt;7,AND(Q48&gt;5,T48&gt;5)),0.5,0)+IF(S48&gt;7,0.25,0)+IF(Q48&lt;6,-0.5*(6-Q48),0)</f>
        <v>3.833333333333333</v>
      </c>
      <c r="AR48" s="314" t="str">
        <f>IF(AQ48&gt;9,"SuperStar",IF(AQ48&gt;8,"Star",IF(AQ48&gt;6.5,"GoodReg",IF(AQ48&gt;5,"Reg",IF(AQ48&gt;4,"Bench","Minors")))))</f>
        <v>Minors</v>
      </c>
      <c r="AS48" s="313">
        <f>AVERAGE(V48,X48,Y48)+IF(OR(V48&gt;7,AND(V48&gt;5,Y48&gt;5)),0.5,0)+IF(X48&gt;7,0.25,0)+IF(V48&lt;6,-0.5*(6-V48),0)</f>
        <v>4.166666666666667</v>
      </c>
      <c r="AT48" s="313" t="str">
        <f>IF(AS48&gt;9,"SuperStar",IF(AS48&gt;8,"Star",IF(AS48&gt;6.5,"GoodReg",IF(AS48&gt;5,"Reg",IF(AS48&gt;4,"Bench","Minors")))))</f>
        <v>Bench</v>
      </c>
      <c r="AU48" s="314">
        <f>MIN(AQ48+(MAX(0,25-J48))^1.5,AS48)</f>
        <v>4.166666666666667</v>
      </c>
      <c r="AV48" s="314" t="str">
        <f>IF(AU48&gt;9,"SuperStar",IF(AU48&gt;8,"Star",IF(AU48&gt;6.5,"GoodReg",IF(AU48&gt;5,"Reg",IF(AU48&gt;4,"Bench","Minors")))))</f>
        <v>Bench</v>
      </c>
      <c r="AW48" s="315">
        <f>IF(AND(OR(Q48+T48&gt;12,AND(Q48&gt;6,T48&gt;6)),AL48&gt;6,OR(AM48&gt;=AL48,AM48&gt;6)),1,0)</f>
        <v>0</v>
      </c>
      <c r="AX48" s="316">
        <f>IF(OR(AND(Q48&gt;6,U48&gt;6),Q48+T48&gt;12),1,0)</f>
        <v>0</v>
      </c>
      <c r="AY48" s="316">
        <f>IF(AND(Q48&gt;6,S48&gt;6,T48&gt;6),1,0)</f>
        <v>0</v>
      </c>
      <c r="AZ48" s="316">
        <f>IF(AND(S48&gt;7,OR(Q48&gt;6,T48&gt;6)),1,0)</f>
        <v>0</v>
      </c>
      <c r="BA48" s="316">
        <f>IF(AND(S48&gt;6,OR(Q48&gt;6,T48&gt;6)),1,0)</f>
        <v>0</v>
      </c>
      <c r="BB48" s="316">
        <f>IF(AND(OR(Q48&gt;6,S48&gt;6),OR(Q48&gt;6,T48&gt;6)),1,0)</f>
        <v>0</v>
      </c>
      <c r="BC48" s="316">
        <f>IF(AND(Q48&gt;4,OR(Q48&gt;6,S48&gt;6,T48&gt;6)),1,0)</f>
        <v>0</v>
      </c>
      <c r="BD48" s="316">
        <f>IF(AND(Q48&gt;4,OR(Q48&gt;6,R48&gt;6,S48&gt;6,T48&gt;6)),1,0)</f>
        <v>0</v>
      </c>
      <c r="BE48" s="311">
        <f>IF(AND(Q48&gt;4,MAX(Q48:U48)&gt;6),1,0)</f>
        <v>0</v>
      </c>
      <c r="BF48" s="315">
        <f>IF(AND(OR(V48+Y48&gt;12,AND(V48&gt;6,Y48&gt;6)),AL48&gt;6,OR(AM48&gt;=AL48,AM48&gt;6)),1,0)</f>
        <v>0</v>
      </c>
      <c r="BG48" s="316">
        <f>IF(OR(AND(V48&gt;6,Z48&gt;6),V48+Y48&gt;12),1,0)</f>
        <v>0</v>
      </c>
      <c r="BH48" s="316">
        <f>IF(AND(V48&gt;6,X48&gt;6,Y48&gt;6),1,0)</f>
        <v>0</v>
      </c>
      <c r="BI48" s="316">
        <f>IF(AND(X48&gt;7,OR(V48&gt;6,Y48&gt;6)),1,0)</f>
        <v>0</v>
      </c>
      <c r="BJ48" s="316">
        <f>IF(AND(X48&gt;6,OR(V48&gt;6,Y48&gt;6)),1,0)</f>
        <v>0</v>
      </c>
      <c r="BK48" s="316">
        <f>IF(AND(OR(V48&gt;6,X48&gt;6),OR(V48&gt;6,Y48&gt;6)),1,0)</f>
        <v>0</v>
      </c>
      <c r="BL48" s="316">
        <f>IF(AND(V48&gt;4,OR(V48&gt;6,X48&gt;6,Y48&gt;6)),1,0)</f>
        <v>0</v>
      </c>
      <c r="BM48" s="316">
        <f>IF(AND(V48&gt;4,OR(V48&gt;6,W48&gt;6,X48&gt;6,Y48&gt;6)),1,0)</f>
        <v>0</v>
      </c>
      <c r="BN48" s="311">
        <f>IF(AND(V48&gt;4,MAX(V48:Z48)&gt;6),1,0)</f>
        <v>0</v>
      </c>
      <c r="BO48" s="311">
        <f>IF(AVERAGE(AL48:AM48)&gt;9,1,0)+IF(AVERAGE(AL48:AM48)&gt;7,1,0)+IF(AL48&gt;7,1,0)+IF(AM48&gt;7,1,0)+IF(AN48&gt;8,1,0)+IF(AN48&gt;6,1,0)</f>
        <v>0</v>
      </c>
      <c r="BP48" s="317">
        <f>IF(OR(MAX(AD48,AE48,AI48,AK48)&gt;6,MAX(AF48,AG48,AH48,AJ48)&gt;7),2,IF(MAX(AD48:AK48)&gt;4,1,0))</f>
        <v>0</v>
      </c>
      <c r="BQ48" s="310" t="str">
        <f>IF(AP48=1,"Yes","")</f>
        <v/>
      </c>
      <c r="BR48" s="309" t="str">
        <f>IF($A48="ML","There",IF(AND($V48&gt;=6,AVERAGE($X48:$Y48)&gt;=6),"Likely",IF(OR($V48&gt;6,AND($V48=6,AVERAGE($X48:$Y48)&gt;=3),AND($V48&gt;=5,AVERAGE($X48:$Y48)&gt;=5),AVERAGE($V48,$X48:$Y48)&gt;5),"Possible","Unlikely")))</f>
        <v>Unlikely</v>
      </c>
      <c r="BS48" s="310" t="str">
        <f>IF(OR(AND(Q48&gt;=6,S48+T48&gt;=12),Q48&gt;7),"Start",IF(AND(Q48&gt;=5,S48+T48&gt;=8),"Bench","aack!"))</f>
        <v>Bench</v>
      </c>
      <c r="BT48" s="310" t="str">
        <f>IF(OR(AND(V48&gt;=6,X48+Y48&gt;=12),V48&gt;7),"Start",IF(AND(V48&gt;=5,X48+Y48&gt;=8),"Bench","aack!"))</f>
        <v>Bench</v>
      </c>
      <c r="BU48" s="310" t="str">
        <f>IF(Q48&gt;5,"ML",IF(Q48=5,"AAA",IF(Q48=4,"AA",IF(Q48=3,"A","SS-A"))))</f>
        <v>AAA</v>
      </c>
      <c r="BV48" s="310">
        <f>Q48-V48</f>
        <v>0</v>
      </c>
      <c r="BW48" s="310">
        <f>R48-W48</f>
        <v>0</v>
      </c>
      <c r="BX48" s="310">
        <f>S48-X48</f>
        <v>-1</v>
      </c>
      <c r="BY48" s="310">
        <f>T48-Y48</f>
        <v>0</v>
      </c>
      <c r="BZ48" s="310">
        <f>U48-Z48</f>
        <v>0</v>
      </c>
      <c r="CA48" s="310">
        <f>SUM(BV48:BZ48)</f>
        <v>-1</v>
      </c>
      <c r="CB48" s="310">
        <f>V48+X48+Y48</f>
        <v>14</v>
      </c>
      <c r="CC48" s="310">
        <f>V48+X48</f>
        <v>10</v>
      </c>
      <c r="CD48" s="310">
        <f>V48+Y48</f>
        <v>9</v>
      </c>
      <c r="CE48" s="310" t="str">
        <f>IF(J48&gt;24,"Now - Age",IF(Q48&gt;6,"Now",IF(V48&lt;6,"With Dev",MIN(V48-Q48,7-Q48))))</f>
        <v>With Dev</v>
      </c>
      <c r="CF48" s="325" t="str">
        <f t="shared" si="12"/>
        <v>X</v>
      </c>
      <c r="CG48" s="325" t="str">
        <f t="shared" si="5"/>
        <v/>
      </c>
      <c r="CH48" s="325" t="str">
        <f t="shared" si="6"/>
        <v/>
      </c>
      <c r="CI48" s="325" t="str">
        <f t="shared" si="7"/>
        <v/>
      </c>
      <c r="CJ48" s="325" t="str">
        <f t="shared" si="8"/>
        <v/>
      </c>
      <c r="CK48" s="325" t="str">
        <f t="shared" si="9"/>
        <v/>
      </c>
      <c r="CL48" s="325" t="str">
        <f t="shared" si="10"/>
        <v/>
      </c>
      <c r="CM48" s="325" t="str">
        <f t="shared" si="11"/>
        <v/>
      </c>
      <c r="CN48" s="325" t="str">
        <f t="shared" si="4"/>
        <v/>
      </c>
    </row>
    <row r="49" spans="1:92">
      <c r="A49" s="308" t="s">
        <v>214</v>
      </c>
      <c r="B49" s="309" t="s">
        <v>95</v>
      </c>
      <c r="C49" s="310" t="str">
        <f>IF(BH49=1,3,IF(BI49=1,4,IF(BF49=1,1,IF(BJ49=1,5,IF(BG49=1,2,IF(BK49=1,6,IF(BL49=1,7,IF(BM49=1,8,IF(BN49=1,9,"-")))))))))</f>
        <v>-</v>
      </c>
      <c r="D49" s="310" t="str">
        <f>IF(AY49=1,3,IF(AZ49=1,4,IF(AW49=1,1,IF(BA49=1,5,IF(AX49=1,2,IF(BB49=1,6,IF(BC49=1,7,IF(BD49=1,8,IF(BE49=1,9,"-")))))))))</f>
        <v>-</v>
      </c>
      <c r="E49" s="310" t="str">
        <f>IF(OR(OR(O49="Very High",O49="High"),AND(OR(O49="Very High",O49="High",O49="Normal"),OR(P49="Very High",P49="High"))),"K","T")</f>
        <v>T</v>
      </c>
      <c r="F49" s="310" t="s">
        <v>95</v>
      </c>
      <c r="G49" s="310" t="s">
        <v>506</v>
      </c>
      <c r="H49" s="310" t="s">
        <v>385</v>
      </c>
      <c r="I49" s="310" t="s">
        <v>214</v>
      </c>
      <c r="J49" s="310">
        <v>24</v>
      </c>
      <c r="K49" s="310" t="s">
        <v>107</v>
      </c>
      <c r="L49" s="310" t="s">
        <v>107</v>
      </c>
      <c r="M49" s="310" t="s">
        <v>47</v>
      </c>
      <c r="N49" s="311" t="s">
        <v>47</v>
      </c>
      <c r="O49" s="310" t="s">
        <v>231</v>
      </c>
      <c r="P49" s="311" t="s">
        <v>229</v>
      </c>
      <c r="Q49" s="310">
        <v>5</v>
      </c>
      <c r="R49" s="310">
        <v>5</v>
      </c>
      <c r="S49" s="310">
        <v>3</v>
      </c>
      <c r="T49" s="310">
        <v>5</v>
      </c>
      <c r="U49" s="311">
        <v>3</v>
      </c>
      <c r="V49" s="310">
        <v>5</v>
      </c>
      <c r="W49" s="310">
        <v>5</v>
      </c>
      <c r="X49" s="310">
        <v>3</v>
      </c>
      <c r="Y49" s="310">
        <v>5</v>
      </c>
      <c r="Z49" s="311">
        <v>4</v>
      </c>
      <c r="AA49" s="310">
        <v>5</v>
      </c>
      <c r="AB49" s="310">
        <v>5</v>
      </c>
      <c r="AC49" s="310">
        <v>9</v>
      </c>
      <c r="AD49" s="310">
        <v>8</v>
      </c>
      <c r="AE49" s="310">
        <v>1</v>
      </c>
      <c r="AF49" s="310" t="s">
        <v>41</v>
      </c>
      <c r="AG49" s="310">
        <v>1</v>
      </c>
      <c r="AH49" s="310" t="s">
        <v>41</v>
      </c>
      <c r="AI49" s="310" t="s">
        <v>41</v>
      </c>
      <c r="AJ49" s="310" t="s">
        <v>41</v>
      </c>
      <c r="AK49" s="311" t="s">
        <v>41</v>
      </c>
      <c r="AL49" s="310">
        <v>3</v>
      </c>
      <c r="AM49" s="310">
        <v>2</v>
      </c>
      <c r="AN49" s="311">
        <v>3</v>
      </c>
      <c r="AO49" s="312" t="s">
        <v>41</v>
      </c>
      <c r="AP49" s="311" t="s">
        <v>45</v>
      </c>
      <c r="AQ49" s="313">
        <f>AVERAGE(Q49,S49,T49)+IF(OR(Q49&gt;7,AND(Q49&gt;5,T49&gt;5)),0.5,0)+IF(S49&gt;7,0.25,0)+IF(Q49&lt;6,-0.5*(6-Q49),0)</f>
        <v>3.833333333333333</v>
      </c>
      <c r="AR49" s="314" t="str">
        <f>IF(AQ49&gt;9,"SuperStar",IF(AQ49&gt;8,"Star",IF(AQ49&gt;6.5,"GoodReg",IF(AQ49&gt;5,"Reg",IF(AQ49&gt;4,"Bench","Minors")))))</f>
        <v>Minors</v>
      </c>
      <c r="AS49" s="313">
        <f>AVERAGE(V49,X49,Y49)+IF(OR(V49&gt;7,AND(V49&gt;5,Y49&gt;5)),0.5,0)+IF(X49&gt;7,0.25,0)+IF(V49&lt;6,-0.5*(6-V49),0)</f>
        <v>3.833333333333333</v>
      </c>
      <c r="AT49" s="313" t="str">
        <f>IF(AS49&gt;9,"SuperStar",IF(AS49&gt;8,"Star",IF(AS49&gt;6.5,"GoodReg",IF(AS49&gt;5,"Reg",IF(AS49&gt;4,"Bench","Minors")))))</f>
        <v>Minors</v>
      </c>
      <c r="AU49" s="314">
        <f>MIN(AQ49+(MAX(0,25-J49))^1.5,AS49)</f>
        <v>3.833333333333333</v>
      </c>
      <c r="AV49" s="314" t="str">
        <f>IF(AU49&gt;9,"SuperStar",IF(AU49&gt;8,"Star",IF(AU49&gt;6.5,"GoodReg",IF(AU49&gt;5,"Reg",IF(AU49&gt;4,"Bench","Minors")))))</f>
        <v>Minors</v>
      </c>
      <c r="AW49" s="315">
        <f>IF(AND(OR(Q49+T49&gt;12,AND(Q49&gt;6,T49&gt;6)),AL49&gt;6,OR(AM49&gt;=AL49,AM49&gt;6)),1,0)</f>
        <v>0</v>
      </c>
      <c r="AX49" s="316">
        <f>IF(OR(AND(Q49&gt;6,U49&gt;6),Q49+T49&gt;12),1,0)</f>
        <v>0</v>
      </c>
      <c r="AY49" s="316">
        <f>IF(AND(Q49&gt;6,S49&gt;6,T49&gt;6),1,0)</f>
        <v>0</v>
      </c>
      <c r="AZ49" s="316">
        <f>IF(AND(S49&gt;7,OR(Q49&gt;6,T49&gt;6)),1,0)</f>
        <v>0</v>
      </c>
      <c r="BA49" s="316">
        <f>IF(AND(S49&gt;6,OR(Q49&gt;6,T49&gt;6)),1,0)</f>
        <v>0</v>
      </c>
      <c r="BB49" s="316">
        <f>IF(AND(OR(Q49&gt;6,S49&gt;6),OR(Q49&gt;6,T49&gt;6)),1,0)</f>
        <v>0</v>
      </c>
      <c r="BC49" s="316">
        <f>IF(AND(Q49&gt;4,OR(Q49&gt;6,S49&gt;6,T49&gt;6)),1,0)</f>
        <v>0</v>
      </c>
      <c r="BD49" s="316">
        <f>IF(AND(Q49&gt;4,OR(Q49&gt;6,R49&gt;6,S49&gt;6,T49&gt;6)),1,0)</f>
        <v>0</v>
      </c>
      <c r="BE49" s="311">
        <f>IF(AND(Q49&gt;4,MAX(Q49:U49)&gt;6),1,0)</f>
        <v>0</v>
      </c>
      <c r="BF49" s="315">
        <f>IF(AND(OR(V49+Y49&gt;12,AND(V49&gt;6,Y49&gt;6)),AL49&gt;6,OR(AM49&gt;=AL49,AM49&gt;6)),1,0)</f>
        <v>0</v>
      </c>
      <c r="BG49" s="316">
        <f>IF(OR(AND(V49&gt;6,Z49&gt;6),V49+Y49&gt;12),1,0)</f>
        <v>0</v>
      </c>
      <c r="BH49" s="316">
        <f>IF(AND(V49&gt;6,X49&gt;6,Y49&gt;6),1,0)</f>
        <v>0</v>
      </c>
      <c r="BI49" s="316">
        <f>IF(AND(X49&gt;7,OR(V49&gt;6,Y49&gt;6)),1,0)</f>
        <v>0</v>
      </c>
      <c r="BJ49" s="316">
        <f>IF(AND(X49&gt;6,OR(V49&gt;6,Y49&gt;6)),1,0)</f>
        <v>0</v>
      </c>
      <c r="BK49" s="316">
        <f>IF(AND(OR(V49&gt;6,X49&gt;6),OR(V49&gt;6,Y49&gt;6)),1,0)</f>
        <v>0</v>
      </c>
      <c r="BL49" s="316">
        <f>IF(AND(V49&gt;4,OR(V49&gt;6,X49&gt;6,Y49&gt;6)),1,0)</f>
        <v>0</v>
      </c>
      <c r="BM49" s="316">
        <f>IF(AND(V49&gt;4,OR(V49&gt;6,W49&gt;6,X49&gt;6,Y49&gt;6)),1,0)</f>
        <v>0</v>
      </c>
      <c r="BN49" s="311">
        <f>IF(AND(V49&gt;4,MAX(V49:Z49)&gt;6),1,0)</f>
        <v>0</v>
      </c>
      <c r="BO49" s="311">
        <f>IF(AVERAGE(AL49:AM49)&gt;9,1,0)+IF(AVERAGE(AL49:AM49)&gt;7,1,0)+IF(AL49&gt;7,1,0)+IF(AM49&gt;7,1,0)+IF(AN49&gt;8,1,0)+IF(AN49&gt;6,1,0)</f>
        <v>0</v>
      </c>
      <c r="BP49" s="317">
        <f>IF(OR(MAX(AD49,AE49,AI49,AK49)&gt;6,MAX(AF49,AG49,AH49,AJ49)&gt;7),2,IF(MAX(AD49:AK49)&gt;4,1,0))</f>
        <v>2</v>
      </c>
      <c r="BQ49" s="310" t="str">
        <f>IF(AP49=1,"Yes","")</f>
        <v/>
      </c>
      <c r="BR49" s="309" t="str">
        <f>IF($A49="ML","There",IF(AND($V49&gt;=6,AVERAGE($X49:$Y49)&gt;=6),"Likely",IF(OR($V49&gt;6,AND($V49=6,AVERAGE($X49:$Y49)&gt;=3),AND($V49&gt;=5,AVERAGE($X49:$Y49)&gt;=5),AVERAGE($V49,$X49:$Y49)&gt;5),"Possible","Unlikely")))</f>
        <v>Unlikely</v>
      </c>
      <c r="BS49" s="310" t="str">
        <f>IF(OR(AND(Q49&gt;=6,S49+T49&gt;=12),Q49&gt;7),"Start",IF(AND(Q49&gt;=5,S49+T49&gt;=8),"Bench","aack!"))</f>
        <v>Bench</v>
      </c>
      <c r="BT49" s="310" t="str">
        <f>IF(OR(AND(V49&gt;=6,X49+Y49&gt;=12),V49&gt;7),"Start",IF(AND(V49&gt;=5,X49+Y49&gt;=8),"Bench","aack!"))</f>
        <v>Bench</v>
      </c>
      <c r="BU49" s="310" t="str">
        <f>IF(Q49&gt;5,"ML",IF(Q49=5,"AAA",IF(Q49=4,"AA",IF(Q49=3,"A","SS-A"))))</f>
        <v>AAA</v>
      </c>
      <c r="BV49" s="310">
        <f>Q49-V49</f>
        <v>0</v>
      </c>
      <c r="BW49" s="310">
        <f>R49-W49</f>
        <v>0</v>
      </c>
      <c r="BX49" s="310">
        <f>S49-X49</f>
        <v>0</v>
      </c>
      <c r="BY49" s="310">
        <f>T49-Y49</f>
        <v>0</v>
      </c>
      <c r="BZ49" s="310">
        <f>U49-Z49</f>
        <v>-1</v>
      </c>
      <c r="CA49" s="310">
        <f>SUM(BV49:BZ49)</f>
        <v>-1</v>
      </c>
      <c r="CB49" s="310">
        <f>V49+X49+Y49</f>
        <v>13</v>
      </c>
      <c r="CC49" s="310">
        <f>V49+X49</f>
        <v>8</v>
      </c>
      <c r="CD49" s="310">
        <f>V49+Y49</f>
        <v>10</v>
      </c>
      <c r="CE49" s="310" t="str">
        <f>IF(J49&gt;24,"Now - Age",IF(Q49&gt;6,"Now",IF(V49&lt;6,"With Dev",MIN(V49-Q49,7-Q49))))</f>
        <v>With Dev</v>
      </c>
      <c r="CF49" s="325" t="str">
        <f t="shared" si="12"/>
        <v>X</v>
      </c>
      <c r="CG49" s="325" t="str">
        <f t="shared" si="5"/>
        <v/>
      </c>
      <c r="CH49" s="325" t="str">
        <f t="shared" si="6"/>
        <v/>
      </c>
      <c r="CI49" s="325" t="str">
        <f t="shared" si="7"/>
        <v/>
      </c>
      <c r="CJ49" s="325" t="str">
        <f t="shared" si="8"/>
        <v/>
      </c>
      <c r="CK49" s="325" t="str">
        <f t="shared" si="9"/>
        <v/>
      </c>
      <c r="CL49" s="325" t="str">
        <f t="shared" si="10"/>
        <v/>
      </c>
      <c r="CM49" s="325" t="str">
        <f t="shared" si="11"/>
        <v/>
      </c>
      <c r="CN49" s="325" t="str">
        <f t="shared" si="4"/>
        <v/>
      </c>
    </row>
    <row r="50" spans="1:92">
      <c r="A50" s="308" t="s">
        <v>214</v>
      </c>
      <c r="B50" s="309" t="s">
        <v>98</v>
      </c>
      <c r="C50" s="310">
        <f>IF(BH50=1,3,IF(BI50=1,4,IF(BF50=1,1,IF(BJ50=1,5,IF(BG50=1,2,IF(BK50=1,6,IF(BL50=1,7,IF(BM50=1,8,IF(BN50=1,9,"-")))))))))</f>
        <v>2</v>
      </c>
      <c r="D50" s="310">
        <f>IF(AY50=1,3,IF(AZ50=1,4,IF(AW50=1,1,IF(BA50=1,5,IF(AX50=1,2,IF(BB50=1,6,IF(BC50=1,7,IF(BD50=1,8,IF(BE50=1,9,"-")))))))))</f>
        <v>2</v>
      </c>
      <c r="E50" s="310" t="str">
        <f>IF(OR(OR(O50="Very High",O50="High"),AND(OR(O50="Very High",O50="High",O50="Normal"),OR(P50="Very High",P50="High"))),"K","T")</f>
        <v>K</v>
      </c>
      <c r="F50" s="310" t="s">
        <v>98</v>
      </c>
      <c r="G50" s="310" t="s">
        <v>239</v>
      </c>
      <c r="H50" s="310" t="s">
        <v>385</v>
      </c>
      <c r="I50" s="310" t="s">
        <v>214</v>
      </c>
      <c r="J50" s="310">
        <v>26</v>
      </c>
      <c r="K50" s="310" t="s">
        <v>107</v>
      </c>
      <c r="L50" s="310" t="s">
        <v>107</v>
      </c>
      <c r="M50" s="310" t="s">
        <v>47</v>
      </c>
      <c r="N50" s="311" t="s">
        <v>47</v>
      </c>
      <c r="O50" s="310" t="s">
        <v>229</v>
      </c>
      <c r="P50" s="311" t="s">
        <v>228</v>
      </c>
      <c r="Q50" s="310">
        <v>7</v>
      </c>
      <c r="R50" s="310">
        <v>6</v>
      </c>
      <c r="S50" s="310">
        <v>1</v>
      </c>
      <c r="T50" s="310">
        <v>3</v>
      </c>
      <c r="U50" s="311">
        <v>10</v>
      </c>
      <c r="V50" s="310">
        <v>7</v>
      </c>
      <c r="W50" s="310">
        <v>7</v>
      </c>
      <c r="X50" s="310">
        <v>1</v>
      </c>
      <c r="Y50" s="310">
        <v>4</v>
      </c>
      <c r="Z50" s="311">
        <v>10</v>
      </c>
      <c r="AA50" s="310">
        <v>4</v>
      </c>
      <c r="AB50" s="310">
        <v>3</v>
      </c>
      <c r="AC50" s="310">
        <v>1</v>
      </c>
      <c r="AD50" s="310" t="s">
        <v>41</v>
      </c>
      <c r="AE50" s="310" t="s">
        <v>41</v>
      </c>
      <c r="AF50" s="310">
        <v>8</v>
      </c>
      <c r="AG50" s="310" t="s">
        <v>41</v>
      </c>
      <c r="AH50" s="310">
        <v>1</v>
      </c>
      <c r="AI50" s="310" t="s">
        <v>41</v>
      </c>
      <c r="AJ50" s="310" t="s">
        <v>41</v>
      </c>
      <c r="AK50" s="311" t="s">
        <v>41</v>
      </c>
      <c r="AL50" s="310">
        <v>6</v>
      </c>
      <c r="AM50" s="310">
        <v>7</v>
      </c>
      <c r="AN50" s="311">
        <v>6</v>
      </c>
      <c r="AO50" s="312" t="s">
        <v>41</v>
      </c>
      <c r="AP50" s="311">
        <v>0</v>
      </c>
      <c r="AQ50" s="313">
        <f>AVERAGE(Q50,S50,T50)+IF(OR(Q50&gt;7,AND(Q50&gt;5,T50&gt;5)),0.5,0)+IF(S50&gt;7,0.25,0)+IF(Q50&lt;6,-0.5*(6-Q50),0)</f>
        <v>3.6666666666666665</v>
      </c>
      <c r="AR50" s="314" t="str">
        <f>IF(AQ50&gt;9,"SuperStar",IF(AQ50&gt;8,"Star",IF(AQ50&gt;6.5,"GoodReg",IF(AQ50&gt;5,"Reg",IF(AQ50&gt;4,"Bench","Minors")))))</f>
        <v>Minors</v>
      </c>
      <c r="AS50" s="313">
        <f>AVERAGE(V50,X50,Y50)+IF(OR(V50&gt;7,AND(V50&gt;5,Y50&gt;5)),0.5,0)+IF(X50&gt;7,0.25,0)+IF(V50&lt;6,-0.5*(6-V50),0)</f>
        <v>4</v>
      </c>
      <c r="AT50" s="313" t="str">
        <f>IF(AS50&gt;9,"SuperStar",IF(AS50&gt;8,"Star",IF(AS50&gt;6.5,"GoodReg",IF(AS50&gt;5,"Reg",IF(AS50&gt;4,"Bench","Minors")))))</f>
        <v>Minors</v>
      </c>
      <c r="AU50" s="314">
        <f>MIN(AQ50+(MAX(0,25-J50))^1.5,AS50)</f>
        <v>3.6666666666666665</v>
      </c>
      <c r="AV50" s="314" t="str">
        <f>IF(AU50&gt;9,"SuperStar",IF(AU50&gt;8,"Star",IF(AU50&gt;6.5,"GoodReg",IF(AU50&gt;5,"Reg",IF(AU50&gt;4,"Bench","Minors")))))</f>
        <v>Minors</v>
      </c>
      <c r="AW50" s="315">
        <f>IF(AND(OR(Q50+T50&gt;12,AND(Q50&gt;6,T50&gt;6)),AL50&gt;6,OR(AM50&gt;=AL50,AM50&gt;6)),1,0)</f>
        <v>0</v>
      </c>
      <c r="AX50" s="316">
        <f>IF(OR(AND(Q50&gt;6,U50&gt;6),Q50+T50&gt;12),1,0)</f>
        <v>1</v>
      </c>
      <c r="AY50" s="316">
        <f>IF(AND(Q50&gt;6,S50&gt;6,T50&gt;6),1,0)</f>
        <v>0</v>
      </c>
      <c r="AZ50" s="316">
        <f>IF(AND(S50&gt;7,OR(Q50&gt;6,T50&gt;6)),1,0)</f>
        <v>0</v>
      </c>
      <c r="BA50" s="316">
        <f>IF(AND(S50&gt;6,OR(Q50&gt;6,T50&gt;6)),1,0)</f>
        <v>0</v>
      </c>
      <c r="BB50" s="316">
        <f>IF(AND(OR(Q50&gt;6,S50&gt;6),OR(Q50&gt;6,T50&gt;6)),1,0)</f>
        <v>1</v>
      </c>
      <c r="BC50" s="316">
        <f>IF(AND(Q50&gt;4,OR(Q50&gt;6,S50&gt;6,T50&gt;6)),1,0)</f>
        <v>1</v>
      </c>
      <c r="BD50" s="316">
        <f>IF(AND(Q50&gt;4,OR(Q50&gt;6,R50&gt;6,S50&gt;6,T50&gt;6)),1,0)</f>
        <v>1</v>
      </c>
      <c r="BE50" s="311">
        <f>IF(AND(Q50&gt;4,MAX(Q50:U50)&gt;6),1,0)</f>
        <v>1</v>
      </c>
      <c r="BF50" s="315">
        <f>IF(AND(OR(V50+Y50&gt;12,AND(V50&gt;6,Y50&gt;6)),AL50&gt;6,OR(AM50&gt;=AL50,AM50&gt;6)),1,0)</f>
        <v>0</v>
      </c>
      <c r="BG50" s="316">
        <f>IF(OR(AND(V50&gt;6,Z50&gt;6),V50+Y50&gt;12),1,0)</f>
        <v>1</v>
      </c>
      <c r="BH50" s="316">
        <f>IF(AND(V50&gt;6,X50&gt;6,Y50&gt;6),1,0)</f>
        <v>0</v>
      </c>
      <c r="BI50" s="316">
        <f>IF(AND(X50&gt;7,OR(V50&gt;6,Y50&gt;6)),1,0)</f>
        <v>0</v>
      </c>
      <c r="BJ50" s="316">
        <f>IF(AND(X50&gt;6,OR(V50&gt;6,Y50&gt;6)),1,0)</f>
        <v>0</v>
      </c>
      <c r="BK50" s="316">
        <f>IF(AND(OR(V50&gt;6,X50&gt;6),OR(V50&gt;6,Y50&gt;6)),1,0)</f>
        <v>1</v>
      </c>
      <c r="BL50" s="316">
        <f>IF(AND(V50&gt;4,OR(V50&gt;6,X50&gt;6,Y50&gt;6)),1,0)</f>
        <v>1</v>
      </c>
      <c r="BM50" s="316">
        <f>IF(AND(V50&gt;4,OR(V50&gt;6,W50&gt;6,X50&gt;6,Y50&gt;6)),1,0)</f>
        <v>1</v>
      </c>
      <c r="BN50" s="311">
        <f>IF(AND(V50&gt;4,MAX(V50:Z50)&gt;6),1,0)</f>
        <v>1</v>
      </c>
      <c r="BO50" s="311">
        <f>IF(AVERAGE(AL50:AM50)&gt;9,1,0)+IF(AVERAGE(AL50:AM50)&gt;7,1,0)+IF(AL50&gt;7,1,0)+IF(AM50&gt;7,1,0)+IF(AN50&gt;8,1,0)+IF(AN50&gt;6,1,0)</f>
        <v>0</v>
      </c>
      <c r="BP50" s="317">
        <f>IF(OR(MAX(AD50,AE50,AI50,AK50)&gt;6,MAX(AF50,AG50,AH50,AJ50)&gt;7),2,IF(MAX(AD50:AK50)&gt;4,1,0))</f>
        <v>2</v>
      </c>
      <c r="BQ50" s="310" t="str">
        <f>IF(AP50=1,"Yes","")</f>
        <v/>
      </c>
      <c r="BR50" s="309" t="str">
        <f>IF($A50="ML","There",IF(AND($V50&gt;=6,AVERAGE($X50:$Y50)&gt;=6),"Likely",IF(OR($V50&gt;6,AND($V50=6,AVERAGE($X50:$Y50)&gt;=3),AND($V50&gt;=5,AVERAGE($X50:$Y50)&gt;=5),AVERAGE($V50,$X50:$Y50)&gt;5),"Possible","Unlikely")))</f>
        <v>Possible</v>
      </c>
      <c r="BS50" s="310" t="str">
        <f>IF(OR(AND(Q50&gt;=6,S50+T50&gt;=12),Q50&gt;7),"Start",IF(AND(Q50&gt;=5,S50+T50&gt;=8),"Bench","aack!"))</f>
        <v>aack!</v>
      </c>
      <c r="BT50" s="310" t="str">
        <f>IF(OR(AND(V50&gt;=6,X50+Y50&gt;=12),V50&gt;7),"Start",IF(AND(V50&gt;=5,X50+Y50&gt;=8),"Bench","aack!"))</f>
        <v>aack!</v>
      </c>
      <c r="BU50" s="310" t="str">
        <f>IF(Q50&gt;5,"ML",IF(Q50=5,"AAA",IF(Q50=4,"AA",IF(Q50=3,"A","SS-A"))))</f>
        <v>ML</v>
      </c>
      <c r="BV50" s="310">
        <f>Q50-V50</f>
        <v>0</v>
      </c>
      <c r="BW50" s="310">
        <f>R50-W50</f>
        <v>-1</v>
      </c>
      <c r="BX50" s="310">
        <f>S50-X50</f>
        <v>0</v>
      </c>
      <c r="BY50" s="310">
        <f>T50-Y50</f>
        <v>-1</v>
      </c>
      <c r="BZ50" s="310">
        <f>U50-Z50</f>
        <v>0</v>
      </c>
      <c r="CA50" s="310">
        <f>SUM(BV50:BZ50)</f>
        <v>-2</v>
      </c>
      <c r="CB50" s="310">
        <f>V50+X50+Y50</f>
        <v>12</v>
      </c>
      <c r="CC50" s="310">
        <f>V50+X50</f>
        <v>8</v>
      </c>
      <c r="CD50" s="310">
        <f>V50+Y50</f>
        <v>11</v>
      </c>
      <c r="CE50" s="310" t="str">
        <f>IF(J50&gt;24,"Now - Age",IF(Q50&gt;6,"Now",IF(V50&lt;6,"With Dev",MIN(V50-Q50,7-Q50))))</f>
        <v>Now - Age</v>
      </c>
      <c r="CF50" s="325" t="str">
        <f t="shared" si="12"/>
        <v/>
      </c>
      <c r="CG50" s="325" t="str">
        <f t="shared" si="5"/>
        <v/>
      </c>
      <c r="CH50" s="325" t="str">
        <f t="shared" si="6"/>
        <v>X</v>
      </c>
      <c r="CI50" s="325" t="str">
        <f t="shared" si="7"/>
        <v/>
      </c>
      <c r="CJ50" s="325" t="str">
        <f t="shared" si="8"/>
        <v/>
      </c>
      <c r="CK50" s="325" t="str">
        <f t="shared" si="9"/>
        <v/>
      </c>
      <c r="CL50" s="325" t="str">
        <f t="shared" si="10"/>
        <v/>
      </c>
      <c r="CM50" s="325" t="str">
        <f t="shared" si="11"/>
        <v/>
      </c>
      <c r="CN50" s="325" t="str">
        <f t="shared" si="4"/>
        <v/>
      </c>
    </row>
    <row r="51" spans="1:92">
      <c r="A51" s="308" t="s">
        <v>214</v>
      </c>
      <c r="B51" s="309" t="s">
        <v>552</v>
      </c>
      <c r="C51" s="310" t="str">
        <f>IF(BH51=1,3,IF(BI51=1,4,IF(BF51=1,1,IF(BJ51=1,5,IF(BG51=1,2,IF(BK51=1,6,IF(BL51=1,7,IF(BM51=1,8,IF(BN51=1,9,"-")))))))))</f>
        <v>-</v>
      </c>
      <c r="D51" s="310" t="str">
        <f>IF(AY51=1,3,IF(AZ51=1,4,IF(AW51=1,1,IF(BA51=1,5,IF(AX51=1,2,IF(BB51=1,6,IF(BC51=1,7,IF(BD51=1,8,IF(BE51=1,9,"-")))))))))</f>
        <v>-</v>
      </c>
      <c r="E51" s="310" t="str">
        <f>IF(OR(OR(O51="Very High",O51="High"),AND(OR(O51="Very High",O51="High",O51="Normal"),OR(P51="Very High",P51="High"))),"K","T")</f>
        <v>T</v>
      </c>
      <c r="F51" s="310" t="s">
        <v>102</v>
      </c>
      <c r="G51" s="310" t="s">
        <v>405</v>
      </c>
      <c r="H51" s="310" t="s">
        <v>385</v>
      </c>
      <c r="I51" s="310" t="s">
        <v>214</v>
      </c>
      <c r="J51" s="310">
        <v>24</v>
      </c>
      <c r="K51" s="310" t="s">
        <v>107</v>
      </c>
      <c r="L51" s="310" t="s">
        <v>107</v>
      </c>
      <c r="M51" s="310" t="s">
        <v>47</v>
      </c>
      <c r="N51" s="311" t="s">
        <v>47</v>
      </c>
      <c r="O51" s="310" t="s">
        <v>230</v>
      </c>
      <c r="P51" s="311" t="s">
        <v>230</v>
      </c>
      <c r="Q51" s="310">
        <v>4</v>
      </c>
      <c r="R51" s="310">
        <v>6</v>
      </c>
      <c r="S51" s="310">
        <v>4</v>
      </c>
      <c r="T51" s="310">
        <v>4</v>
      </c>
      <c r="U51" s="311">
        <v>3</v>
      </c>
      <c r="V51" s="310">
        <v>4</v>
      </c>
      <c r="W51" s="310">
        <v>6</v>
      </c>
      <c r="X51" s="310">
        <v>5</v>
      </c>
      <c r="Y51" s="310">
        <v>5</v>
      </c>
      <c r="Z51" s="311">
        <v>4</v>
      </c>
      <c r="AA51" s="310">
        <v>1</v>
      </c>
      <c r="AB51" s="310">
        <v>7</v>
      </c>
      <c r="AC51" s="310">
        <v>1</v>
      </c>
      <c r="AD51" s="310" t="s">
        <v>41</v>
      </c>
      <c r="AE51" s="310">
        <v>1</v>
      </c>
      <c r="AF51" s="310" t="s">
        <v>41</v>
      </c>
      <c r="AG51" s="310" t="s">
        <v>41</v>
      </c>
      <c r="AH51" s="310" t="s">
        <v>41</v>
      </c>
      <c r="AI51" s="310">
        <v>10</v>
      </c>
      <c r="AJ51" s="310">
        <v>7</v>
      </c>
      <c r="AK51" s="311">
        <v>9</v>
      </c>
      <c r="AL51" s="310">
        <v>5</v>
      </c>
      <c r="AM51" s="310">
        <v>8</v>
      </c>
      <c r="AN51" s="311">
        <v>7</v>
      </c>
      <c r="AO51" s="312" t="s">
        <v>41</v>
      </c>
      <c r="AP51" s="311">
        <v>0</v>
      </c>
      <c r="AQ51" s="313">
        <f>AVERAGE(Q51,S51,T51)+IF(OR(Q51&gt;7,AND(Q51&gt;5,T51&gt;5)),0.5,0)+IF(S51&gt;7,0.25,0)+IF(Q51&lt;6,-0.5*(6-Q51),0)</f>
        <v>3</v>
      </c>
      <c r="AR51" s="314" t="str">
        <f>IF(AQ51&gt;9,"SuperStar",IF(AQ51&gt;8,"Star",IF(AQ51&gt;6.5,"GoodReg",IF(AQ51&gt;5,"Reg",IF(AQ51&gt;4,"Bench","Minors")))))</f>
        <v>Minors</v>
      </c>
      <c r="AS51" s="313">
        <f>AVERAGE(V51,X51,Y51)+IF(OR(V51&gt;7,AND(V51&gt;5,Y51&gt;5)),0.5,0)+IF(X51&gt;7,0.25,0)+IF(V51&lt;6,-0.5*(6-V51),0)</f>
        <v>3.666666666666667</v>
      </c>
      <c r="AT51" s="313" t="str">
        <f>IF(AS51&gt;9,"SuperStar",IF(AS51&gt;8,"Star",IF(AS51&gt;6.5,"GoodReg",IF(AS51&gt;5,"Reg",IF(AS51&gt;4,"Bench","Minors")))))</f>
        <v>Minors</v>
      </c>
      <c r="AU51" s="314">
        <f>MIN(AQ51+(MAX(0,25-J51))^1.5,AS51)</f>
        <v>3.666666666666667</v>
      </c>
      <c r="AV51" s="314" t="str">
        <f>IF(AU51&gt;9,"SuperStar",IF(AU51&gt;8,"Star",IF(AU51&gt;6.5,"GoodReg",IF(AU51&gt;5,"Reg",IF(AU51&gt;4,"Bench","Minors")))))</f>
        <v>Minors</v>
      </c>
      <c r="AW51" s="315">
        <f>IF(AND(OR(Q51+T51&gt;12,AND(Q51&gt;6,T51&gt;6)),AL51&gt;6,OR(AM51&gt;=AL51,AM51&gt;6)),1,0)</f>
        <v>0</v>
      </c>
      <c r="AX51" s="316">
        <f>IF(OR(AND(Q51&gt;6,U51&gt;6),Q51+T51&gt;12),1,0)</f>
        <v>0</v>
      </c>
      <c r="AY51" s="316">
        <f>IF(AND(Q51&gt;6,S51&gt;6,T51&gt;6),1,0)</f>
        <v>0</v>
      </c>
      <c r="AZ51" s="316">
        <f>IF(AND(S51&gt;7,OR(Q51&gt;6,T51&gt;6)),1,0)</f>
        <v>0</v>
      </c>
      <c r="BA51" s="316">
        <f>IF(AND(S51&gt;6,OR(Q51&gt;6,T51&gt;6)),1,0)</f>
        <v>0</v>
      </c>
      <c r="BB51" s="316">
        <f>IF(AND(OR(Q51&gt;6,S51&gt;6),OR(Q51&gt;6,T51&gt;6)),1,0)</f>
        <v>0</v>
      </c>
      <c r="BC51" s="316">
        <f>IF(AND(Q51&gt;4,OR(Q51&gt;6,S51&gt;6,T51&gt;6)),1,0)</f>
        <v>0</v>
      </c>
      <c r="BD51" s="316">
        <f>IF(AND(Q51&gt;4,OR(Q51&gt;6,R51&gt;6,S51&gt;6,T51&gt;6)),1,0)</f>
        <v>0</v>
      </c>
      <c r="BE51" s="311">
        <f>IF(AND(Q51&gt;4,MAX(Q51:U51)&gt;6),1,0)</f>
        <v>0</v>
      </c>
      <c r="BF51" s="315">
        <f>IF(AND(OR(V51+Y51&gt;12,AND(V51&gt;6,Y51&gt;6)),AL51&gt;6,OR(AM51&gt;=AL51,AM51&gt;6)),1,0)</f>
        <v>0</v>
      </c>
      <c r="BG51" s="316">
        <f>IF(OR(AND(V51&gt;6,Z51&gt;6),V51+Y51&gt;12),1,0)</f>
        <v>0</v>
      </c>
      <c r="BH51" s="316">
        <f>IF(AND(V51&gt;6,X51&gt;6,Y51&gt;6),1,0)</f>
        <v>0</v>
      </c>
      <c r="BI51" s="316">
        <f>IF(AND(X51&gt;7,OR(V51&gt;6,Y51&gt;6)),1,0)</f>
        <v>0</v>
      </c>
      <c r="BJ51" s="316">
        <f>IF(AND(X51&gt;6,OR(V51&gt;6,Y51&gt;6)),1,0)</f>
        <v>0</v>
      </c>
      <c r="BK51" s="316">
        <f>IF(AND(OR(V51&gt;6,X51&gt;6),OR(V51&gt;6,Y51&gt;6)),1,0)</f>
        <v>0</v>
      </c>
      <c r="BL51" s="316">
        <f>IF(AND(V51&gt;4,OR(V51&gt;6,X51&gt;6,Y51&gt;6)),1,0)</f>
        <v>0</v>
      </c>
      <c r="BM51" s="316">
        <f>IF(AND(V51&gt;4,OR(V51&gt;6,W51&gt;6,X51&gt;6,Y51&gt;6)),1,0)</f>
        <v>0</v>
      </c>
      <c r="BN51" s="311">
        <f>IF(AND(V51&gt;4,MAX(V51:Z51)&gt;6),1,0)</f>
        <v>0</v>
      </c>
      <c r="BO51" s="311">
        <f>IF(AVERAGE(AL51:AM51)&gt;9,1,0)+IF(AVERAGE(AL51:AM51)&gt;7,1,0)+IF(AL51&gt;7,1,0)+IF(AM51&gt;7,1,0)+IF(AN51&gt;8,1,0)+IF(AN51&gt;6,1,0)</f>
        <v>2</v>
      </c>
      <c r="BP51" s="317">
        <f>IF(OR(MAX(AD51,AE51,AI51,AK51)&gt;6,MAX(AF51,AG51,AH51,AJ51)&gt;7),2,IF(MAX(AD51:AK51)&gt;4,1,0))</f>
        <v>2</v>
      </c>
      <c r="BQ51" s="310" t="str">
        <f>IF(AP51=1,"Yes","")</f>
        <v/>
      </c>
      <c r="BR51" s="309" t="str">
        <f>IF($A51="ML","There",IF(AND($V51&gt;=6,AVERAGE($X51:$Y51)&gt;=6),"Likely",IF(OR($V51&gt;6,AND($V51=6,AVERAGE($X51:$Y51)&gt;=3),AND($V51&gt;=5,AVERAGE($X51:$Y51)&gt;=5),AVERAGE($V51,$X51:$Y51)&gt;5),"Possible","Unlikely")))</f>
        <v>Unlikely</v>
      </c>
      <c r="BS51" s="310" t="str">
        <f>IF(OR(AND(Q51&gt;=6,S51+T51&gt;=12),Q51&gt;7),"Start",IF(AND(Q51&gt;=5,S51+T51&gt;=8),"Bench","aack!"))</f>
        <v>aack!</v>
      </c>
      <c r="BT51" s="310" t="str">
        <f>IF(OR(AND(V51&gt;=6,X51+Y51&gt;=12),V51&gt;7),"Start",IF(AND(V51&gt;=5,X51+Y51&gt;=8),"Bench","aack!"))</f>
        <v>aack!</v>
      </c>
      <c r="BU51" s="310" t="str">
        <f>IF(Q51&gt;5,"ML",IF(Q51=5,"AAA",IF(Q51=4,"AA",IF(Q51=3,"A","SS-A"))))</f>
        <v>AA</v>
      </c>
      <c r="BV51" s="310">
        <f>Q51-V51</f>
        <v>0</v>
      </c>
      <c r="BW51" s="310">
        <f>R51-W51</f>
        <v>0</v>
      </c>
      <c r="BX51" s="310">
        <f>S51-X51</f>
        <v>-1</v>
      </c>
      <c r="BY51" s="310">
        <f>T51-Y51</f>
        <v>-1</v>
      </c>
      <c r="BZ51" s="310">
        <f>U51-Z51</f>
        <v>-1</v>
      </c>
      <c r="CA51" s="310">
        <f>SUM(BV51:BZ51)</f>
        <v>-3</v>
      </c>
      <c r="CB51" s="310">
        <f>V51+X51+Y51</f>
        <v>14</v>
      </c>
      <c r="CC51" s="310">
        <f>V51+X51</f>
        <v>9</v>
      </c>
      <c r="CD51" s="310">
        <f>V51+Y51</f>
        <v>9</v>
      </c>
      <c r="CE51" s="310" t="str">
        <f>IF(J51&gt;24,"Now - Age",IF(Q51&gt;6,"Now",IF(V51&lt;6,"With Dev",MIN(V51-Q51,7-Q51))))</f>
        <v>With Dev</v>
      </c>
      <c r="CF51" s="325" t="str">
        <f t="shared" si="12"/>
        <v/>
      </c>
      <c r="CG51" s="325" t="str">
        <f t="shared" si="5"/>
        <v/>
      </c>
      <c r="CH51" s="325" t="str">
        <f t="shared" si="6"/>
        <v/>
      </c>
      <c r="CI51" s="325" t="str">
        <f t="shared" si="7"/>
        <v/>
      </c>
      <c r="CJ51" s="325" t="str">
        <f t="shared" si="8"/>
        <v/>
      </c>
      <c r="CK51" s="325" t="str">
        <f t="shared" si="9"/>
        <v>X</v>
      </c>
      <c r="CL51" s="325" t="str">
        <f t="shared" si="10"/>
        <v>X</v>
      </c>
      <c r="CM51" s="325" t="str">
        <f t="shared" si="11"/>
        <v>X</v>
      </c>
      <c r="CN51" s="325" t="str">
        <f t="shared" si="4"/>
        <v/>
      </c>
    </row>
    <row r="52" spans="1:92">
      <c r="A52" s="308" t="s">
        <v>214</v>
      </c>
      <c r="B52" s="309" t="s">
        <v>584</v>
      </c>
      <c r="C52" s="310">
        <f>IF(BH52=1,3,IF(BI52=1,4,IF(BF52=1,1,IF(BJ52=1,5,IF(BG52=1,2,IF(BK52=1,6,IF(BL52=1,7,IF(BM52=1,8,IF(BN52=1,9,"-")))))))))</f>
        <v>8</v>
      </c>
      <c r="D52" s="310">
        <f>IF(AY52=1,3,IF(AZ52=1,4,IF(AW52=1,1,IF(BA52=1,5,IF(AX52=1,2,IF(BB52=1,6,IF(BC52=1,7,IF(BD52=1,8,IF(BE52=1,9,"-")))))))))</f>
        <v>8</v>
      </c>
      <c r="E52" s="310" t="str">
        <f>IF(OR(OR(O52="Very High",O52="High"),AND(OR(O52="Very High",O52="High",O52="Normal"),OR(P52="Very High",P52="High"))),"K","T")</f>
        <v>K</v>
      </c>
      <c r="F52" s="310" t="s">
        <v>101</v>
      </c>
      <c r="G52" s="310" t="s">
        <v>241</v>
      </c>
      <c r="H52" s="310" t="s">
        <v>385</v>
      </c>
      <c r="I52" s="310" t="s">
        <v>214</v>
      </c>
      <c r="J52" s="310">
        <v>23</v>
      </c>
      <c r="K52" s="310" t="s">
        <v>107</v>
      </c>
      <c r="L52" s="310" t="s">
        <v>107</v>
      </c>
      <c r="M52" s="310" t="s">
        <v>47</v>
      </c>
      <c r="N52" s="311" t="s">
        <v>47</v>
      </c>
      <c r="O52" s="310" t="s">
        <v>228</v>
      </c>
      <c r="P52" s="311" t="s">
        <v>231</v>
      </c>
      <c r="Q52" s="310">
        <v>5</v>
      </c>
      <c r="R52" s="310">
        <v>8</v>
      </c>
      <c r="S52" s="310">
        <v>2</v>
      </c>
      <c r="T52" s="310">
        <v>3</v>
      </c>
      <c r="U52" s="311">
        <v>3</v>
      </c>
      <c r="V52" s="310">
        <v>5</v>
      </c>
      <c r="W52" s="310">
        <v>8</v>
      </c>
      <c r="X52" s="310">
        <v>2</v>
      </c>
      <c r="Y52" s="310">
        <v>4</v>
      </c>
      <c r="Z52" s="311">
        <v>3</v>
      </c>
      <c r="AA52" s="310">
        <v>1</v>
      </c>
      <c r="AB52" s="310">
        <v>4</v>
      </c>
      <c r="AC52" s="310">
        <v>1</v>
      </c>
      <c r="AD52" s="310" t="s">
        <v>41</v>
      </c>
      <c r="AE52" s="310" t="s">
        <v>41</v>
      </c>
      <c r="AF52" s="310" t="s">
        <v>41</v>
      </c>
      <c r="AG52" s="310" t="s">
        <v>41</v>
      </c>
      <c r="AH52" s="310" t="s">
        <v>41</v>
      </c>
      <c r="AI52" s="310">
        <v>5</v>
      </c>
      <c r="AJ52" s="310">
        <v>1</v>
      </c>
      <c r="AK52" s="311">
        <v>4</v>
      </c>
      <c r="AL52" s="310">
        <v>7</v>
      </c>
      <c r="AM52" s="310">
        <v>10</v>
      </c>
      <c r="AN52" s="311">
        <v>10</v>
      </c>
      <c r="AO52" s="312" t="s">
        <v>41</v>
      </c>
      <c r="AP52" s="311">
        <v>0</v>
      </c>
      <c r="AQ52" s="313">
        <f>AVERAGE(Q52,S52,T52)+IF(OR(Q52&gt;7,AND(Q52&gt;5,T52&gt;5)),0.5,0)+IF(S52&gt;7,0.25,0)+IF(Q52&lt;6,-0.5*(6-Q52),0)</f>
        <v>2.8333333333333335</v>
      </c>
      <c r="AR52" s="314" t="str">
        <f>IF(AQ52&gt;9,"SuperStar",IF(AQ52&gt;8,"Star",IF(AQ52&gt;6.5,"GoodReg",IF(AQ52&gt;5,"Reg",IF(AQ52&gt;4,"Bench","Minors")))))</f>
        <v>Minors</v>
      </c>
      <c r="AS52" s="313">
        <f>AVERAGE(V52,X52,Y52)+IF(OR(V52&gt;7,AND(V52&gt;5,Y52&gt;5)),0.5,0)+IF(X52&gt;7,0.25,0)+IF(V52&lt;6,-0.5*(6-V52),0)</f>
        <v>3.1666666666666665</v>
      </c>
      <c r="AT52" s="313" t="str">
        <f>IF(AS52&gt;9,"SuperStar",IF(AS52&gt;8,"Star",IF(AS52&gt;6.5,"GoodReg",IF(AS52&gt;5,"Reg",IF(AS52&gt;4,"Bench","Minors")))))</f>
        <v>Minors</v>
      </c>
      <c r="AU52" s="314">
        <f>MIN(AQ52+(MAX(0,25-J52))^1.5,AS52)</f>
        <v>3.1666666666666665</v>
      </c>
      <c r="AV52" s="314" t="str">
        <f>IF(AU52&gt;9,"SuperStar",IF(AU52&gt;8,"Star",IF(AU52&gt;6.5,"GoodReg",IF(AU52&gt;5,"Reg",IF(AU52&gt;4,"Bench","Minors")))))</f>
        <v>Minors</v>
      </c>
      <c r="AW52" s="315">
        <f>IF(AND(OR(Q52+T52&gt;12,AND(Q52&gt;6,T52&gt;6)),AL52&gt;6,OR(AM52&gt;=AL52,AM52&gt;6)),1,0)</f>
        <v>0</v>
      </c>
      <c r="AX52" s="316">
        <f>IF(OR(AND(Q52&gt;6,U52&gt;6),Q52+T52&gt;12),1,0)</f>
        <v>0</v>
      </c>
      <c r="AY52" s="316">
        <f>IF(AND(Q52&gt;6,S52&gt;6,T52&gt;6),1,0)</f>
        <v>0</v>
      </c>
      <c r="AZ52" s="316">
        <f>IF(AND(S52&gt;7,OR(Q52&gt;6,T52&gt;6)),1,0)</f>
        <v>0</v>
      </c>
      <c r="BA52" s="316">
        <f>IF(AND(S52&gt;6,OR(Q52&gt;6,T52&gt;6)),1,0)</f>
        <v>0</v>
      </c>
      <c r="BB52" s="316">
        <f>IF(AND(OR(Q52&gt;6,S52&gt;6),OR(Q52&gt;6,T52&gt;6)),1,0)</f>
        <v>0</v>
      </c>
      <c r="BC52" s="316">
        <f>IF(AND(Q52&gt;4,OR(Q52&gt;6,S52&gt;6,T52&gt;6)),1,0)</f>
        <v>0</v>
      </c>
      <c r="BD52" s="316">
        <f>IF(AND(Q52&gt;4,OR(Q52&gt;6,R52&gt;6,S52&gt;6,T52&gt;6)),1,0)</f>
        <v>1</v>
      </c>
      <c r="BE52" s="311">
        <f>IF(AND(Q52&gt;4,MAX(Q52:U52)&gt;6),1,0)</f>
        <v>1</v>
      </c>
      <c r="BF52" s="315">
        <f>IF(AND(OR(V52+Y52&gt;12,AND(V52&gt;6,Y52&gt;6)),AL52&gt;6,OR(AM52&gt;=AL52,AM52&gt;6)),1,0)</f>
        <v>0</v>
      </c>
      <c r="BG52" s="316">
        <f>IF(OR(AND(V52&gt;6,Z52&gt;6),V52+Y52&gt;12),1,0)</f>
        <v>0</v>
      </c>
      <c r="BH52" s="316">
        <f>IF(AND(V52&gt;6,X52&gt;6,Y52&gt;6),1,0)</f>
        <v>0</v>
      </c>
      <c r="BI52" s="316">
        <f>IF(AND(X52&gt;7,OR(V52&gt;6,Y52&gt;6)),1,0)</f>
        <v>0</v>
      </c>
      <c r="BJ52" s="316">
        <f>IF(AND(X52&gt;6,OR(V52&gt;6,Y52&gt;6)),1,0)</f>
        <v>0</v>
      </c>
      <c r="BK52" s="316">
        <f>IF(AND(OR(V52&gt;6,X52&gt;6),OR(V52&gt;6,Y52&gt;6)),1,0)</f>
        <v>0</v>
      </c>
      <c r="BL52" s="316">
        <f>IF(AND(V52&gt;4,OR(V52&gt;6,X52&gt;6,Y52&gt;6)),1,0)</f>
        <v>0</v>
      </c>
      <c r="BM52" s="316">
        <f>IF(AND(V52&gt;4,OR(V52&gt;6,W52&gt;6,X52&gt;6,Y52&gt;6)),1,0)</f>
        <v>1</v>
      </c>
      <c r="BN52" s="311">
        <f>IF(AND(V52&gt;4,MAX(V52:Z52)&gt;6),1,0)</f>
        <v>1</v>
      </c>
      <c r="BO52" s="311">
        <f>IF(AVERAGE(AL52:AM52)&gt;9,1,0)+IF(AVERAGE(AL52:AM52)&gt;7,1,0)+IF(AL52&gt;7,1,0)+IF(AM52&gt;7,1,0)+IF(AN52&gt;8,1,0)+IF(AN52&gt;6,1,0)</f>
        <v>4</v>
      </c>
      <c r="BP52" s="317">
        <f>IF(OR(MAX(AD52,AE52,AI52,AK52)&gt;6,MAX(AF52,AG52,AH52,AJ52)&gt;7),2,IF(MAX(AD52:AK52)&gt;4,1,0))</f>
        <v>1</v>
      </c>
      <c r="BQ52" s="310" t="str">
        <f>IF(AP52=1,"Yes","")</f>
        <v/>
      </c>
      <c r="BR52" s="309" t="str">
        <f>IF($A52="ML","There",IF(AND($V52&gt;=6,AVERAGE($X52:$Y52)&gt;=6),"Likely",IF(OR($V52&gt;6,AND($V52=6,AVERAGE($X52:$Y52)&gt;=3),AND($V52&gt;=5,AVERAGE($X52:$Y52)&gt;=5),AVERAGE($V52,$X52:$Y52)&gt;5),"Possible","Unlikely")))</f>
        <v>Unlikely</v>
      </c>
      <c r="BS52" s="310" t="str">
        <f>IF(OR(AND(Q52&gt;=6,S52+T52&gt;=12),Q52&gt;7),"Start",IF(AND(Q52&gt;=5,S52+T52&gt;=8),"Bench","aack!"))</f>
        <v>aack!</v>
      </c>
      <c r="BT52" s="310" t="str">
        <f>IF(OR(AND(V52&gt;=6,X52+Y52&gt;=12),V52&gt;7),"Start",IF(AND(V52&gt;=5,X52+Y52&gt;=8),"Bench","aack!"))</f>
        <v>aack!</v>
      </c>
      <c r="BU52" s="310" t="str">
        <f>IF(Q52&gt;5,"ML",IF(Q52=5,"AAA",IF(Q52=4,"AA",IF(Q52=3,"A","SS-A"))))</f>
        <v>AAA</v>
      </c>
      <c r="BV52" s="310">
        <f>Q52-V52</f>
        <v>0</v>
      </c>
      <c r="BW52" s="310">
        <f>R52-W52</f>
        <v>0</v>
      </c>
      <c r="BX52" s="310">
        <f>S52-X52</f>
        <v>0</v>
      </c>
      <c r="BY52" s="310">
        <f>T52-Y52</f>
        <v>-1</v>
      </c>
      <c r="BZ52" s="310">
        <f>U52-Z52</f>
        <v>0</v>
      </c>
      <c r="CA52" s="310">
        <f>SUM(BV52:BZ52)</f>
        <v>-1</v>
      </c>
      <c r="CB52" s="310">
        <f>V52+X52+Y52</f>
        <v>11</v>
      </c>
      <c r="CC52" s="310">
        <f>V52+X52</f>
        <v>7</v>
      </c>
      <c r="CD52" s="310">
        <f>V52+Y52</f>
        <v>9</v>
      </c>
      <c r="CE52" s="310" t="str">
        <f>IF(J52&gt;24,"Now - Age",IF(Q52&gt;6,"Now",IF(V52&lt;6,"With Dev",MIN(V52-Q52,7-Q52))))</f>
        <v>With Dev</v>
      </c>
      <c r="CF52" s="325" t="str">
        <f t="shared" si="12"/>
        <v/>
      </c>
      <c r="CG52" s="325" t="str">
        <f t="shared" si="5"/>
        <v/>
      </c>
      <c r="CH52" s="325" t="str">
        <f t="shared" si="6"/>
        <v/>
      </c>
      <c r="CI52" s="325" t="str">
        <f t="shared" si="7"/>
        <v/>
      </c>
      <c r="CJ52" s="325" t="str">
        <f t="shared" si="8"/>
        <v/>
      </c>
      <c r="CK52" s="325" t="str">
        <f t="shared" si="9"/>
        <v>X</v>
      </c>
      <c r="CL52" s="325" t="str">
        <f t="shared" si="10"/>
        <v/>
      </c>
      <c r="CM52" s="325" t="str">
        <f t="shared" si="11"/>
        <v/>
      </c>
      <c r="CN52" s="325" t="str">
        <f t="shared" si="4"/>
        <v/>
      </c>
    </row>
    <row r="53" spans="1:92">
      <c r="A53" s="308" t="s">
        <v>214</v>
      </c>
      <c r="B53" s="309" t="s">
        <v>582</v>
      </c>
      <c r="C53" s="310" t="str">
        <f>IF(BH53=1,3,IF(BI53=1,4,IF(BF53=1,1,IF(BJ53=1,5,IF(BG53=1,2,IF(BK53=1,6,IF(BL53=1,7,IF(BM53=1,8,IF(BN53=1,9,"-")))))))))</f>
        <v>-</v>
      </c>
      <c r="D53" s="310" t="str">
        <f>IF(AY53=1,3,IF(AZ53=1,4,IF(AW53=1,1,IF(BA53=1,5,IF(AX53=1,2,IF(BB53=1,6,IF(BC53=1,7,IF(BD53=1,8,IF(BE53=1,9,"-")))))))))</f>
        <v>-</v>
      </c>
      <c r="E53" s="310" t="str">
        <f>IF(OR(OR(O53="Very High",O53="High"),AND(OR(O53="Very High",O53="High",O53="Normal"),OR(P53="Very High",P53="High"))),"K","T")</f>
        <v>T</v>
      </c>
      <c r="F53" s="310" t="s">
        <v>98</v>
      </c>
      <c r="G53" s="310" t="s">
        <v>402</v>
      </c>
      <c r="H53" s="310" t="s">
        <v>385</v>
      </c>
      <c r="I53" s="310" t="s">
        <v>214</v>
      </c>
      <c r="J53" s="310">
        <v>24</v>
      </c>
      <c r="K53" s="310" t="s">
        <v>107</v>
      </c>
      <c r="L53" s="310" t="s">
        <v>107</v>
      </c>
      <c r="M53" s="310" t="s">
        <v>47</v>
      </c>
      <c r="N53" s="311" t="s">
        <v>47</v>
      </c>
      <c r="O53" s="310" t="s">
        <v>231</v>
      </c>
      <c r="P53" s="311" t="s">
        <v>228</v>
      </c>
      <c r="Q53" s="310">
        <v>5</v>
      </c>
      <c r="R53" s="310">
        <v>3</v>
      </c>
      <c r="S53" s="310">
        <v>1</v>
      </c>
      <c r="T53" s="310">
        <v>3</v>
      </c>
      <c r="U53" s="311">
        <v>5</v>
      </c>
      <c r="V53" s="310">
        <v>5</v>
      </c>
      <c r="W53" s="310">
        <v>3</v>
      </c>
      <c r="X53" s="310">
        <v>2</v>
      </c>
      <c r="Y53" s="310">
        <v>4</v>
      </c>
      <c r="Z53" s="311">
        <v>5</v>
      </c>
      <c r="AA53" s="310">
        <v>7</v>
      </c>
      <c r="AB53" s="310">
        <v>1</v>
      </c>
      <c r="AC53" s="310">
        <v>1</v>
      </c>
      <c r="AD53" s="310" t="s">
        <v>41</v>
      </c>
      <c r="AE53" s="310">
        <v>10</v>
      </c>
      <c r="AF53" s="310">
        <v>10</v>
      </c>
      <c r="AG53" s="310">
        <v>9</v>
      </c>
      <c r="AH53" s="310">
        <v>8</v>
      </c>
      <c r="AI53" s="310" t="s">
        <v>41</v>
      </c>
      <c r="AJ53" s="310" t="s">
        <v>41</v>
      </c>
      <c r="AK53" s="311" t="s">
        <v>41</v>
      </c>
      <c r="AL53" s="310">
        <v>6</v>
      </c>
      <c r="AM53" s="310">
        <v>8</v>
      </c>
      <c r="AN53" s="311">
        <v>6</v>
      </c>
      <c r="AO53" s="312" t="s">
        <v>41</v>
      </c>
      <c r="AP53" s="311">
        <v>0</v>
      </c>
      <c r="AQ53" s="313">
        <f>AVERAGE(Q53,S53,T53)+IF(OR(Q53&gt;7,AND(Q53&gt;5,T53&gt;5)),0.5,0)+IF(S53&gt;7,0.25,0)+IF(Q53&lt;6,-0.5*(6-Q53),0)</f>
        <v>2.5</v>
      </c>
      <c r="AR53" s="314" t="str">
        <f>IF(AQ53&gt;9,"SuperStar",IF(AQ53&gt;8,"Star",IF(AQ53&gt;6.5,"GoodReg",IF(AQ53&gt;5,"Reg",IF(AQ53&gt;4,"Bench","Minors")))))</f>
        <v>Minors</v>
      </c>
      <c r="AS53" s="313">
        <f>AVERAGE(V53,X53,Y53)+IF(OR(V53&gt;7,AND(V53&gt;5,Y53&gt;5)),0.5,0)+IF(X53&gt;7,0.25,0)+IF(V53&lt;6,-0.5*(6-V53),0)</f>
        <v>3.1666666666666665</v>
      </c>
      <c r="AT53" s="313" t="str">
        <f>IF(AS53&gt;9,"SuperStar",IF(AS53&gt;8,"Star",IF(AS53&gt;6.5,"GoodReg",IF(AS53&gt;5,"Reg",IF(AS53&gt;4,"Bench","Minors")))))</f>
        <v>Minors</v>
      </c>
      <c r="AU53" s="314">
        <f>MIN(AQ53+(MAX(0,25-J53))^1.5,AS53)</f>
        <v>3.1666666666666665</v>
      </c>
      <c r="AV53" s="314" t="str">
        <f>IF(AU53&gt;9,"SuperStar",IF(AU53&gt;8,"Star",IF(AU53&gt;6.5,"GoodReg",IF(AU53&gt;5,"Reg",IF(AU53&gt;4,"Bench","Minors")))))</f>
        <v>Minors</v>
      </c>
      <c r="AW53" s="315">
        <f>IF(AND(OR(Q53+T53&gt;12,AND(Q53&gt;6,T53&gt;6)),AL53&gt;6,OR(AM53&gt;=AL53,AM53&gt;6)),1,0)</f>
        <v>0</v>
      </c>
      <c r="AX53" s="316">
        <f>IF(OR(AND(Q53&gt;6,U53&gt;6),Q53+T53&gt;12),1,0)</f>
        <v>0</v>
      </c>
      <c r="AY53" s="316">
        <f>IF(AND(Q53&gt;6,S53&gt;6,T53&gt;6),1,0)</f>
        <v>0</v>
      </c>
      <c r="AZ53" s="316">
        <f>IF(AND(S53&gt;7,OR(Q53&gt;6,T53&gt;6)),1,0)</f>
        <v>0</v>
      </c>
      <c r="BA53" s="316">
        <f>IF(AND(S53&gt;6,OR(Q53&gt;6,T53&gt;6)),1,0)</f>
        <v>0</v>
      </c>
      <c r="BB53" s="316">
        <f>IF(AND(OR(Q53&gt;6,S53&gt;6),OR(Q53&gt;6,T53&gt;6)),1,0)</f>
        <v>0</v>
      </c>
      <c r="BC53" s="316">
        <f>IF(AND(Q53&gt;4,OR(Q53&gt;6,S53&gt;6,T53&gt;6)),1,0)</f>
        <v>0</v>
      </c>
      <c r="BD53" s="316">
        <f>IF(AND(Q53&gt;4,OR(Q53&gt;6,R53&gt;6,S53&gt;6,T53&gt;6)),1,0)</f>
        <v>0</v>
      </c>
      <c r="BE53" s="311">
        <f>IF(AND(Q53&gt;4,MAX(Q53:U53)&gt;6),1,0)</f>
        <v>0</v>
      </c>
      <c r="BF53" s="315">
        <f>IF(AND(OR(V53+Y53&gt;12,AND(V53&gt;6,Y53&gt;6)),AL53&gt;6,OR(AM53&gt;=AL53,AM53&gt;6)),1,0)</f>
        <v>0</v>
      </c>
      <c r="BG53" s="316">
        <f>IF(OR(AND(V53&gt;6,Z53&gt;6),V53+Y53&gt;12),1,0)</f>
        <v>0</v>
      </c>
      <c r="BH53" s="316">
        <f>IF(AND(V53&gt;6,X53&gt;6,Y53&gt;6),1,0)</f>
        <v>0</v>
      </c>
      <c r="BI53" s="316">
        <f>IF(AND(X53&gt;7,OR(V53&gt;6,Y53&gt;6)),1,0)</f>
        <v>0</v>
      </c>
      <c r="BJ53" s="316">
        <f>IF(AND(X53&gt;6,OR(V53&gt;6,Y53&gt;6)),1,0)</f>
        <v>0</v>
      </c>
      <c r="BK53" s="316">
        <f>IF(AND(OR(V53&gt;6,X53&gt;6),OR(V53&gt;6,Y53&gt;6)),1,0)</f>
        <v>0</v>
      </c>
      <c r="BL53" s="316">
        <f>IF(AND(V53&gt;4,OR(V53&gt;6,X53&gt;6,Y53&gt;6)),1,0)</f>
        <v>0</v>
      </c>
      <c r="BM53" s="316">
        <f>IF(AND(V53&gt;4,OR(V53&gt;6,W53&gt;6,X53&gt;6,Y53&gt;6)),1,0)</f>
        <v>0</v>
      </c>
      <c r="BN53" s="311">
        <f>IF(AND(V53&gt;4,MAX(V53:Z53)&gt;6),1,0)</f>
        <v>0</v>
      </c>
      <c r="BO53" s="311">
        <f>IF(AVERAGE(AL53:AM53)&gt;9,1,0)+IF(AVERAGE(AL53:AM53)&gt;7,1,0)+IF(AL53&gt;7,1,0)+IF(AM53&gt;7,1,0)+IF(AN53&gt;8,1,0)+IF(AN53&gt;6,1,0)</f>
        <v>1</v>
      </c>
      <c r="BP53" s="317">
        <f>IF(OR(MAX(AD53,AE53,AI53,AK53)&gt;6,MAX(AF53,AG53,AH53,AJ53)&gt;7),2,IF(MAX(AD53:AK53)&gt;4,1,0))</f>
        <v>2</v>
      </c>
      <c r="BQ53" s="310" t="str">
        <f>IF(AP53=1,"Yes","")</f>
        <v/>
      </c>
      <c r="BR53" s="309" t="str">
        <f>IF($A53="ML","There",IF(AND($V53&gt;=6,AVERAGE($X53:$Y53)&gt;=6),"Likely",IF(OR($V53&gt;6,AND($V53=6,AVERAGE($X53:$Y53)&gt;=3),AND($V53&gt;=5,AVERAGE($X53:$Y53)&gt;=5),AVERAGE($V53,$X53:$Y53)&gt;5),"Possible","Unlikely")))</f>
        <v>Unlikely</v>
      </c>
      <c r="BS53" s="310" t="str">
        <f>IF(OR(AND(Q53&gt;=6,S53+T53&gt;=12),Q53&gt;7),"Start",IF(AND(Q53&gt;=5,S53+T53&gt;=8),"Bench","aack!"))</f>
        <v>aack!</v>
      </c>
      <c r="BT53" s="310" t="str">
        <f>IF(OR(AND(V53&gt;=6,X53+Y53&gt;=12),V53&gt;7),"Start",IF(AND(V53&gt;=5,X53+Y53&gt;=8),"Bench","aack!"))</f>
        <v>aack!</v>
      </c>
      <c r="BU53" s="310" t="str">
        <f>IF(Q53&gt;5,"ML",IF(Q53=5,"AAA",IF(Q53=4,"AA",IF(Q53=3,"A","SS-A"))))</f>
        <v>AAA</v>
      </c>
      <c r="BV53" s="310">
        <f>Q53-V53</f>
        <v>0</v>
      </c>
      <c r="BW53" s="310">
        <f>R53-W53</f>
        <v>0</v>
      </c>
      <c r="BX53" s="310">
        <f>S53-X53</f>
        <v>-1</v>
      </c>
      <c r="BY53" s="310">
        <f>T53-Y53</f>
        <v>-1</v>
      </c>
      <c r="BZ53" s="310">
        <f>U53-Z53</f>
        <v>0</v>
      </c>
      <c r="CA53" s="310">
        <f>SUM(BV53:BZ53)</f>
        <v>-2</v>
      </c>
      <c r="CB53" s="310">
        <f>V53+X53+Y53</f>
        <v>11</v>
      </c>
      <c r="CC53" s="310">
        <f>V53+X53</f>
        <v>7</v>
      </c>
      <c r="CD53" s="310">
        <f>V53+Y53</f>
        <v>9</v>
      </c>
      <c r="CE53" s="310" t="str">
        <f>IF(J53&gt;24,"Now - Age",IF(Q53&gt;6,"Now",IF(V53&lt;6,"With Dev",MIN(V53-Q53,7-Q53))))</f>
        <v>With Dev</v>
      </c>
      <c r="CF53" s="325" t="str">
        <f t="shared" si="12"/>
        <v/>
      </c>
      <c r="CG53" s="325" t="str">
        <f t="shared" si="5"/>
        <v>X</v>
      </c>
      <c r="CH53" s="325" t="str">
        <f t="shared" si="6"/>
        <v>X</v>
      </c>
      <c r="CI53" s="325" t="str">
        <f t="shared" si="7"/>
        <v>X</v>
      </c>
      <c r="CJ53" s="325" t="str">
        <f t="shared" si="8"/>
        <v>X</v>
      </c>
      <c r="CK53" s="325" t="str">
        <f t="shared" si="9"/>
        <v/>
      </c>
      <c r="CL53" s="325" t="str">
        <f t="shared" si="10"/>
        <v/>
      </c>
      <c r="CM53" s="325" t="str">
        <f t="shared" si="11"/>
        <v/>
      </c>
      <c r="CN53" s="325" t="str">
        <f t="shared" si="4"/>
        <v/>
      </c>
    </row>
    <row r="54" spans="1:92">
      <c r="A54" s="308" t="s">
        <v>215</v>
      </c>
      <c r="B54" s="309" t="s">
        <v>99</v>
      </c>
      <c r="C54" s="310">
        <f>IF(BH54=1,3,IF(BI54=1,4,IF(BF54=1,1,IF(BJ54=1,5,IF(BG54=1,2,IF(BK54=1,6,IF(BL54=1,7,IF(BM54=1,8,IF(BN54=1,9,"-")))))))))</f>
        <v>7</v>
      </c>
      <c r="D54" s="310">
        <f>IF(AY54=1,3,IF(AZ54=1,4,IF(AW54=1,1,IF(BA54=1,5,IF(AX54=1,2,IF(BB54=1,6,IF(BC54=1,7,IF(BD54=1,8,IF(BE54=1,9,"-")))))))))</f>
        <v>7</v>
      </c>
      <c r="E54" s="310" t="str">
        <f>IF(OR(OR(O54="Very High",O54="High"),AND(OR(O54="Very High",O54="High",O54="Normal"),OR(P54="Very High",P54="High"))),"K","T")</f>
        <v>K</v>
      </c>
      <c r="F54" s="310" t="s">
        <v>99</v>
      </c>
      <c r="G54" s="310" t="s">
        <v>568</v>
      </c>
      <c r="H54" s="310" t="s">
        <v>386</v>
      </c>
      <c r="I54" s="310" t="s">
        <v>215</v>
      </c>
      <c r="J54" s="310">
        <v>26</v>
      </c>
      <c r="K54" s="310" t="s">
        <v>106</v>
      </c>
      <c r="L54" s="310" t="s">
        <v>106</v>
      </c>
      <c r="M54" s="310" t="s">
        <v>47</v>
      </c>
      <c r="N54" s="311" t="s">
        <v>47</v>
      </c>
      <c r="O54" s="310" t="s">
        <v>229</v>
      </c>
      <c r="P54" s="311" t="s">
        <v>228</v>
      </c>
      <c r="Q54" s="310">
        <v>5</v>
      </c>
      <c r="R54" s="310">
        <v>6</v>
      </c>
      <c r="S54" s="310">
        <v>7</v>
      </c>
      <c r="T54" s="310">
        <v>6</v>
      </c>
      <c r="U54" s="311">
        <v>3</v>
      </c>
      <c r="V54" s="310">
        <v>5</v>
      </c>
      <c r="W54" s="310">
        <v>6</v>
      </c>
      <c r="X54" s="310">
        <v>7</v>
      </c>
      <c r="Y54" s="310">
        <v>6</v>
      </c>
      <c r="Z54" s="311">
        <v>3</v>
      </c>
      <c r="AA54" s="310">
        <v>9</v>
      </c>
      <c r="AB54" s="310">
        <v>2</v>
      </c>
      <c r="AC54" s="310">
        <v>1</v>
      </c>
      <c r="AD54" s="310" t="s">
        <v>41</v>
      </c>
      <c r="AE54" s="310">
        <v>10</v>
      </c>
      <c r="AF54" s="310">
        <v>4</v>
      </c>
      <c r="AG54" s="310">
        <v>9</v>
      </c>
      <c r="AH54" s="310">
        <v>7</v>
      </c>
      <c r="AI54" s="310" t="s">
        <v>41</v>
      </c>
      <c r="AJ54" s="310" t="s">
        <v>41</v>
      </c>
      <c r="AK54" s="311" t="s">
        <v>41</v>
      </c>
      <c r="AL54" s="310">
        <v>3</v>
      </c>
      <c r="AM54" s="310">
        <v>2</v>
      </c>
      <c r="AN54" s="311">
        <v>3</v>
      </c>
      <c r="AO54" s="312" t="s">
        <v>41</v>
      </c>
      <c r="AP54" s="311" t="s">
        <v>45</v>
      </c>
      <c r="AQ54" s="313">
        <f>AVERAGE(Q54,S54,T54)+IF(OR(Q54&gt;7,AND(Q54&gt;5,T54&gt;5)),0.5,0)+IF(S54&gt;7,0.25,0)+IF(Q54&lt;6,-0.5*(6-Q54),0)</f>
        <v>5.5</v>
      </c>
      <c r="AR54" s="314" t="str">
        <f>IF(AQ54&gt;9,"SuperStar",IF(AQ54&gt;8,"Star",IF(AQ54&gt;6.5,"GoodReg",IF(AQ54&gt;5,"Reg",IF(AQ54&gt;4,"Bench","Minors")))))</f>
        <v>Reg</v>
      </c>
      <c r="AS54" s="313">
        <f>AVERAGE(V54,X54,Y54)+IF(OR(V54&gt;7,AND(V54&gt;5,Y54&gt;5)),0.5,0)+IF(X54&gt;7,0.25,0)+IF(V54&lt;6,-0.5*(6-V54),0)</f>
        <v>5.5</v>
      </c>
      <c r="AT54" s="313" t="str">
        <f>IF(AS54&gt;9,"SuperStar",IF(AS54&gt;8,"Star",IF(AS54&gt;6.5,"GoodReg",IF(AS54&gt;5,"Reg",IF(AS54&gt;4,"Bench","Minors")))))</f>
        <v>Reg</v>
      </c>
      <c r="AU54" s="314">
        <f>MIN(AQ54+(MAX(0,25-J54))^1.5,AS54)</f>
        <v>5.5</v>
      </c>
      <c r="AV54" s="314" t="str">
        <f>IF(AU54&gt;9,"SuperStar",IF(AU54&gt;8,"Star",IF(AU54&gt;6.5,"GoodReg",IF(AU54&gt;5,"Reg",IF(AU54&gt;4,"Bench","Minors")))))</f>
        <v>Reg</v>
      </c>
      <c r="AW54" s="315">
        <f>IF(AND(OR(Q54+T54&gt;12,AND(Q54&gt;6,T54&gt;6)),AL54&gt;6,OR(AM54&gt;=AL54,AM54&gt;6)),1,0)</f>
        <v>0</v>
      </c>
      <c r="AX54" s="316">
        <f>IF(OR(AND(Q54&gt;6,U54&gt;6),Q54+T54&gt;12),1,0)</f>
        <v>0</v>
      </c>
      <c r="AY54" s="316">
        <f>IF(AND(Q54&gt;6,S54&gt;6,T54&gt;6),1,0)</f>
        <v>0</v>
      </c>
      <c r="AZ54" s="316">
        <f>IF(AND(S54&gt;7,OR(Q54&gt;6,T54&gt;6)),1,0)</f>
        <v>0</v>
      </c>
      <c r="BA54" s="316">
        <f>IF(AND(S54&gt;6,OR(Q54&gt;6,T54&gt;6)),1,0)</f>
        <v>0</v>
      </c>
      <c r="BB54" s="316">
        <f>IF(AND(OR(Q54&gt;6,S54&gt;6),OR(Q54&gt;6,T54&gt;6)),1,0)</f>
        <v>0</v>
      </c>
      <c r="BC54" s="316">
        <f>IF(AND(Q54&gt;4,OR(Q54&gt;6,S54&gt;6,T54&gt;6)),1,0)</f>
        <v>1</v>
      </c>
      <c r="BD54" s="316">
        <f>IF(AND(Q54&gt;4,OR(Q54&gt;6,R54&gt;6,S54&gt;6,T54&gt;6)),1,0)</f>
        <v>1</v>
      </c>
      <c r="BE54" s="311">
        <f>IF(AND(Q54&gt;4,MAX(Q54:U54)&gt;6),1,0)</f>
        <v>1</v>
      </c>
      <c r="BF54" s="315">
        <f>IF(AND(OR(V54+Y54&gt;12,AND(V54&gt;6,Y54&gt;6)),AL54&gt;6,OR(AM54&gt;=AL54,AM54&gt;6)),1,0)</f>
        <v>0</v>
      </c>
      <c r="BG54" s="316">
        <f>IF(OR(AND(V54&gt;6,Z54&gt;6),V54+Y54&gt;12),1,0)</f>
        <v>0</v>
      </c>
      <c r="BH54" s="316">
        <f>IF(AND(V54&gt;6,X54&gt;6,Y54&gt;6),1,0)</f>
        <v>0</v>
      </c>
      <c r="BI54" s="316">
        <f>IF(AND(X54&gt;7,OR(V54&gt;6,Y54&gt;6)),1,0)</f>
        <v>0</v>
      </c>
      <c r="BJ54" s="316">
        <f>IF(AND(X54&gt;6,OR(V54&gt;6,Y54&gt;6)),1,0)</f>
        <v>0</v>
      </c>
      <c r="BK54" s="316">
        <f>IF(AND(OR(V54&gt;6,X54&gt;6),OR(V54&gt;6,Y54&gt;6)),1,0)</f>
        <v>0</v>
      </c>
      <c r="BL54" s="316">
        <f>IF(AND(V54&gt;4,OR(V54&gt;6,X54&gt;6,Y54&gt;6)),1,0)</f>
        <v>1</v>
      </c>
      <c r="BM54" s="316">
        <f>IF(AND(V54&gt;4,OR(V54&gt;6,W54&gt;6,X54&gt;6,Y54&gt;6)),1,0)</f>
        <v>1</v>
      </c>
      <c r="BN54" s="311">
        <f>IF(AND(V54&gt;4,MAX(V54:Z54)&gt;6),1,0)</f>
        <v>1</v>
      </c>
      <c r="BO54" s="311">
        <f>IF(AVERAGE(AL54:AM54)&gt;9,1,0)+IF(AVERAGE(AL54:AM54)&gt;7,1,0)+IF(AL54&gt;7,1,0)+IF(AM54&gt;7,1,0)+IF(AN54&gt;8,1,0)+IF(AN54&gt;6,1,0)</f>
        <v>0</v>
      </c>
      <c r="BP54" s="317">
        <f>IF(OR(MAX(AD54,AE54,AI54,AK54)&gt;6,MAX(AF54,AG54,AH54,AJ54)&gt;7),2,IF(MAX(AD54:AK54)&gt;4,1,0))</f>
        <v>2</v>
      </c>
      <c r="BQ54" s="310" t="str">
        <f>IF(AP54=1,"Yes","")</f>
        <v/>
      </c>
      <c r="BR54" s="309" t="str">
        <f>IF($A54="ML","There",IF(AND($V54&gt;=6,AVERAGE($X54:$Y54)&gt;=6),"Likely",IF(OR($V54&gt;6,AND($V54=6,AVERAGE($X54:$Y54)&gt;=3),AND($V54&gt;=5,AVERAGE($X54:$Y54)&gt;=5),AVERAGE($V54,$X54:$Y54)&gt;5),"Possible","Unlikely")))</f>
        <v>Possible</v>
      </c>
      <c r="BS54" s="310" t="str">
        <f>IF(OR(AND(Q54&gt;=6,S54+T54&gt;=12),Q54&gt;7),"Start",IF(AND(Q54&gt;=5,S54+T54&gt;=8),"Bench","aack!"))</f>
        <v>Bench</v>
      </c>
      <c r="BT54" s="310" t="str">
        <f>IF(OR(AND(V54&gt;=6,X54+Y54&gt;=12),V54&gt;7),"Start",IF(AND(V54&gt;=5,X54+Y54&gt;=8),"Bench","aack!"))</f>
        <v>Bench</v>
      </c>
      <c r="BU54" s="310" t="str">
        <f>IF(Q54&gt;5,"ML",IF(Q54=5,"AAA",IF(Q54=4,"AA",IF(Q54=3,"A","SS-A"))))</f>
        <v>AAA</v>
      </c>
      <c r="BV54" s="310">
        <f>Q54-V54</f>
        <v>0</v>
      </c>
      <c r="BW54" s="310">
        <f>R54-W54</f>
        <v>0</v>
      </c>
      <c r="BX54" s="310">
        <f>S54-X54</f>
        <v>0</v>
      </c>
      <c r="BY54" s="310">
        <f>T54-Y54</f>
        <v>0</v>
      </c>
      <c r="BZ54" s="310">
        <f>U54-Z54</f>
        <v>0</v>
      </c>
      <c r="CA54" s="310">
        <f>SUM(BV54:BZ54)</f>
        <v>0</v>
      </c>
      <c r="CB54" s="310">
        <f>V54+X54+Y54</f>
        <v>18</v>
      </c>
      <c r="CC54" s="310">
        <f>V54+X54</f>
        <v>12</v>
      </c>
      <c r="CD54" s="310">
        <f>V54+Y54</f>
        <v>11</v>
      </c>
      <c r="CE54" s="310" t="str">
        <f>IF(J54&gt;24,"Now - Age",IF(Q54&gt;6,"Now",IF(V54&lt;6,"With Dev",MIN(V54-Q54,7-Q54))))</f>
        <v>Now - Age</v>
      </c>
      <c r="CF54" s="325" t="str">
        <f t="shared" si="12"/>
        <v/>
      </c>
      <c r="CG54" s="325" t="str">
        <f t="shared" si="5"/>
        <v>X</v>
      </c>
      <c r="CH54" s="325" t="str">
        <f t="shared" si="6"/>
        <v/>
      </c>
      <c r="CI54" s="325" t="str">
        <f t="shared" si="7"/>
        <v>X</v>
      </c>
      <c r="CJ54" s="325" t="str">
        <f t="shared" si="8"/>
        <v>X</v>
      </c>
      <c r="CK54" s="325" t="str">
        <f t="shared" si="9"/>
        <v/>
      </c>
      <c r="CL54" s="325" t="str">
        <f t="shared" si="10"/>
        <v/>
      </c>
      <c r="CM54" s="325" t="str">
        <f t="shared" si="11"/>
        <v/>
      </c>
      <c r="CN54" s="325" t="str">
        <f t="shared" si="4"/>
        <v/>
      </c>
    </row>
    <row r="55" spans="1:92">
      <c r="A55" s="308" t="s">
        <v>215</v>
      </c>
      <c r="B55" s="309" t="s">
        <v>95</v>
      </c>
      <c r="C55" s="310" t="str">
        <f>IF(BH55=1,3,IF(BI55=1,4,IF(BF55=1,1,IF(BJ55=1,5,IF(BG55=1,2,IF(BK55=1,6,IF(BL55=1,7,IF(BM55=1,8,IF(BN55=1,9,"-")))))))))</f>
        <v>-</v>
      </c>
      <c r="D55" s="310" t="str">
        <f>IF(AY55=1,3,IF(AZ55=1,4,IF(AW55=1,1,IF(BA55=1,5,IF(AX55=1,2,IF(BB55=1,6,IF(BC55=1,7,IF(BD55=1,8,IF(BE55=1,9,"-")))))))))</f>
        <v>-</v>
      </c>
      <c r="E55" s="310" t="str">
        <f>IF(OR(OR(O55="Very High",O55="High"),AND(OR(O55="Very High",O55="High",O55="Normal"),OR(P55="Very High",P55="High"))),"K","T")</f>
        <v>K</v>
      </c>
      <c r="F55" s="310" t="s">
        <v>95</v>
      </c>
      <c r="G55" s="310" t="s">
        <v>52</v>
      </c>
      <c r="H55" s="310" t="s">
        <v>386</v>
      </c>
      <c r="I55" s="310" t="s">
        <v>215</v>
      </c>
      <c r="J55" s="310">
        <v>28</v>
      </c>
      <c r="K55" s="310" t="s">
        <v>107</v>
      </c>
      <c r="L55" s="310" t="s">
        <v>107</v>
      </c>
      <c r="M55" s="310" t="s">
        <v>47</v>
      </c>
      <c r="N55" s="311" t="s">
        <v>47</v>
      </c>
      <c r="O55" s="310" t="s">
        <v>228</v>
      </c>
      <c r="P55" s="311" t="s">
        <v>228</v>
      </c>
      <c r="Q55" s="310">
        <v>5</v>
      </c>
      <c r="R55" s="310">
        <v>5</v>
      </c>
      <c r="S55" s="310">
        <v>5</v>
      </c>
      <c r="T55" s="310">
        <v>5</v>
      </c>
      <c r="U55" s="311">
        <v>6</v>
      </c>
      <c r="V55" s="310">
        <v>5</v>
      </c>
      <c r="W55" s="310">
        <v>5</v>
      </c>
      <c r="X55" s="310">
        <v>5</v>
      </c>
      <c r="Y55" s="310">
        <v>5</v>
      </c>
      <c r="Z55" s="311">
        <v>6</v>
      </c>
      <c r="AA55" s="310">
        <v>4</v>
      </c>
      <c r="AB55" s="310">
        <v>5</v>
      </c>
      <c r="AC55" s="310">
        <v>6</v>
      </c>
      <c r="AD55" s="310">
        <v>7</v>
      </c>
      <c r="AE55" s="310">
        <v>1</v>
      </c>
      <c r="AF55" s="310" t="s">
        <v>41</v>
      </c>
      <c r="AG55" s="310" t="s">
        <v>41</v>
      </c>
      <c r="AH55" s="310" t="s">
        <v>41</v>
      </c>
      <c r="AI55" s="310">
        <v>1</v>
      </c>
      <c r="AJ55" s="310" t="s">
        <v>41</v>
      </c>
      <c r="AK55" s="311" t="s">
        <v>41</v>
      </c>
      <c r="AL55" s="310">
        <v>1</v>
      </c>
      <c r="AM55" s="310">
        <v>1</v>
      </c>
      <c r="AN55" s="311">
        <v>1</v>
      </c>
      <c r="AO55" s="312">
        <v>490000</v>
      </c>
      <c r="AP55" s="311" t="s">
        <v>45</v>
      </c>
      <c r="AQ55" s="313">
        <f>AVERAGE(Q55,S55,T55)+IF(OR(Q55&gt;7,AND(Q55&gt;5,T55&gt;5)),0.5,0)+IF(S55&gt;7,0.25,0)+IF(Q55&lt;6,-0.5*(6-Q55),0)</f>
        <v>4.5</v>
      </c>
      <c r="AR55" s="314" t="str">
        <f>IF(AQ55&gt;9,"SuperStar",IF(AQ55&gt;8,"Star",IF(AQ55&gt;6.5,"GoodReg",IF(AQ55&gt;5,"Reg",IF(AQ55&gt;4,"Bench","Minors")))))</f>
        <v>Bench</v>
      </c>
      <c r="AS55" s="313">
        <f>AVERAGE(V55,X55,Y55)+IF(OR(V55&gt;7,AND(V55&gt;5,Y55&gt;5)),0.5,0)+IF(X55&gt;7,0.25,0)+IF(V55&lt;6,-0.5*(6-V55),0)</f>
        <v>4.5</v>
      </c>
      <c r="AT55" s="313" t="str">
        <f>IF(AS55&gt;9,"SuperStar",IF(AS55&gt;8,"Star",IF(AS55&gt;6.5,"GoodReg",IF(AS55&gt;5,"Reg",IF(AS55&gt;4,"Bench","Minors")))))</f>
        <v>Bench</v>
      </c>
      <c r="AU55" s="314">
        <f>MIN(AQ55+(MAX(0,25-J55))^1.5,AS55)</f>
        <v>4.5</v>
      </c>
      <c r="AV55" s="314" t="str">
        <f>IF(AU55&gt;9,"SuperStar",IF(AU55&gt;8,"Star",IF(AU55&gt;6.5,"GoodReg",IF(AU55&gt;5,"Reg",IF(AU55&gt;4,"Bench","Minors")))))</f>
        <v>Bench</v>
      </c>
      <c r="AW55" s="315">
        <f>IF(AND(OR(Q55+T55&gt;12,AND(Q55&gt;6,T55&gt;6)),AL55&gt;6,OR(AM55&gt;=AL55,AM55&gt;6)),1,0)</f>
        <v>0</v>
      </c>
      <c r="AX55" s="316">
        <f>IF(OR(AND(Q55&gt;6,U55&gt;6),Q55+T55&gt;12),1,0)</f>
        <v>0</v>
      </c>
      <c r="AY55" s="316">
        <f>IF(AND(Q55&gt;6,S55&gt;6,T55&gt;6),1,0)</f>
        <v>0</v>
      </c>
      <c r="AZ55" s="316">
        <f>IF(AND(S55&gt;7,OR(Q55&gt;6,T55&gt;6)),1,0)</f>
        <v>0</v>
      </c>
      <c r="BA55" s="316">
        <f>IF(AND(S55&gt;6,OR(Q55&gt;6,T55&gt;6)),1,0)</f>
        <v>0</v>
      </c>
      <c r="BB55" s="316">
        <f>IF(AND(OR(Q55&gt;6,S55&gt;6),OR(Q55&gt;6,T55&gt;6)),1,0)</f>
        <v>0</v>
      </c>
      <c r="BC55" s="316">
        <f>IF(AND(Q55&gt;4,OR(Q55&gt;6,S55&gt;6,T55&gt;6)),1,0)</f>
        <v>0</v>
      </c>
      <c r="BD55" s="316">
        <f>IF(AND(Q55&gt;4,OR(Q55&gt;6,R55&gt;6,S55&gt;6,T55&gt;6)),1,0)</f>
        <v>0</v>
      </c>
      <c r="BE55" s="311">
        <f>IF(AND(Q55&gt;4,MAX(Q55:U55)&gt;6),1,0)</f>
        <v>0</v>
      </c>
      <c r="BF55" s="315">
        <f>IF(AND(OR(V55+Y55&gt;12,AND(V55&gt;6,Y55&gt;6)),AL55&gt;6,OR(AM55&gt;=AL55,AM55&gt;6)),1,0)</f>
        <v>0</v>
      </c>
      <c r="BG55" s="316">
        <f>IF(OR(AND(V55&gt;6,Z55&gt;6),V55+Y55&gt;12),1,0)</f>
        <v>0</v>
      </c>
      <c r="BH55" s="316">
        <f>IF(AND(V55&gt;6,X55&gt;6,Y55&gt;6),1,0)</f>
        <v>0</v>
      </c>
      <c r="BI55" s="316">
        <f>IF(AND(X55&gt;7,OR(V55&gt;6,Y55&gt;6)),1,0)</f>
        <v>0</v>
      </c>
      <c r="BJ55" s="316">
        <f>IF(AND(X55&gt;6,OR(V55&gt;6,Y55&gt;6)),1,0)</f>
        <v>0</v>
      </c>
      <c r="BK55" s="316">
        <f>IF(AND(OR(V55&gt;6,X55&gt;6),OR(V55&gt;6,Y55&gt;6)),1,0)</f>
        <v>0</v>
      </c>
      <c r="BL55" s="316">
        <f>IF(AND(V55&gt;4,OR(V55&gt;6,X55&gt;6,Y55&gt;6)),1,0)</f>
        <v>0</v>
      </c>
      <c r="BM55" s="316">
        <f>IF(AND(V55&gt;4,OR(V55&gt;6,W55&gt;6,X55&gt;6,Y55&gt;6)),1,0)</f>
        <v>0</v>
      </c>
      <c r="BN55" s="311">
        <f>IF(AND(V55&gt;4,MAX(V55:Z55)&gt;6),1,0)</f>
        <v>0</v>
      </c>
      <c r="BO55" s="311">
        <f>IF(AVERAGE(AL55:AM55)&gt;9,1,0)+IF(AVERAGE(AL55:AM55)&gt;7,1,0)+IF(AL55&gt;7,1,0)+IF(AM55&gt;7,1,0)+IF(AN55&gt;8,1,0)+IF(AN55&gt;6,1,0)</f>
        <v>0</v>
      </c>
      <c r="BP55" s="317">
        <f>IF(OR(MAX(AD55,AE55,AI55,AK55)&gt;6,MAX(AF55,AG55,AH55,AJ55)&gt;7),2,IF(MAX(AD55:AK55)&gt;4,1,0))</f>
        <v>2</v>
      </c>
      <c r="BQ55" s="310" t="str">
        <f>IF(AP55=1,"Yes","")</f>
        <v/>
      </c>
      <c r="BR55" s="309" t="str">
        <f>IF($A55="ML","There",IF(AND($V55&gt;=6,AVERAGE($X55:$Y55)&gt;=6),"Likely",IF(OR($V55&gt;6,AND($V55=6,AVERAGE($X55:$Y55)&gt;=3),AND($V55&gt;=5,AVERAGE($X55:$Y55)&gt;=5),AVERAGE($V55,$X55:$Y55)&gt;5),"Possible","Unlikely")))</f>
        <v>Possible</v>
      </c>
      <c r="BS55" s="310" t="str">
        <f>IF(OR(AND(Q55&gt;=6,S55+T55&gt;=12),Q55&gt;7),"Start",IF(AND(Q55&gt;=5,S55+T55&gt;=8),"Bench","aack!"))</f>
        <v>Bench</v>
      </c>
      <c r="BT55" s="310" t="str">
        <f>IF(OR(AND(V55&gt;=6,X55+Y55&gt;=12),V55&gt;7),"Start",IF(AND(V55&gt;=5,X55+Y55&gt;=8),"Bench","aack!"))</f>
        <v>Bench</v>
      </c>
      <c r="BU55" s="310" t="str">
        <f>IF(Q55&gt;5,"ML",IF(Q55=5,"AAA",IF(Q55=4,"AA",IF(Q55=3,"A","SS-A"))))</f>
        <v>AAA</v>
      </c>
      <c r="BV55" s="310">
        <f>Q55-V55</f>
        <v>0</v>
      </c>
      <c r="BW55" s="310">
        <f>R55-W55</f>
        <v>0</v>
      </c>
      <c r="BX55" s="310">
        <f>S55-X55</f>
        <v>0</v>
      </c>
      <c r="BY55" s="310">
        <f>T55-Y55</f>
        <v>0</v>
      </c>
      <c r="BZ55" s="310">
        <f>U55-Z55</f>
        <v>0</v>
      </c>
      <c r="CA55" s="310">
        <f>SUM(BV55:BZ55)</f>
        <v>0</v>
      </c>
      <c r="CB55" s="310">
        <f>V55+X55+Y55</f>
        <v>15</v>
      </c>
      <c r="CC55" s="310">
        <f>V55+X55</f>
        <v>10</v>
      </c>
      <c r="CD55" s="310">
        <f>V55+Y55</f>
        <v>10</v>
      </c>
      <c r="CE55" s="310" t="str">
        <f>IF(J55&gt;24,"Now - Age",IF(Q55&gt;6,"Now",IF(V55&lt;6,"With Dev",MIN(V55-Q55,7-Q55))))</f>
        <v>Now - Age</v>
      </c>
      <c r="CF55" s="325" t="str">
        <f t="shared" si="12"/>
        <v>X</v>
      </c>
      <c r="CG55" s="325" t="str">
        <f t="shared" si="5"/>
        <v/>
      </c>
      <c r="CH55" s="325" t="str">
        <f t="shared" si="6"/>
        <v/>
      </c>
      <c r="CI55" s="325" t="str">
        <f t="shared" si="7"/>
        <v/>
      </c>
      <c r="CJ55" s="325" t="str">
        <f t="shared" si="8"/>
        <v/>
      </c>
      <c r="CK55" s="325" t="str">
        <f t="shared" si="9"/>
        <v/>
      </c>
      <c r="CL55" s="325" t="str">
        <f t="shared" si="10"/>
        <v/>
      </c>
      <c r="CM55" s="325" t="str">
        <f t="shared" si="11"/>
        <v/>
      </c>
      <c r="CN55" s="325" t="str">
        <f t="shared" si="4"/>
        <v/>
      </c>
    </row>
    <row r="56" spans="1:92">
      <c r="A56" s="308" t="s">
        <v>215</v>
      </c>
      <c r="B56" s="309" t="s">
        <v>103</v>
      </c>
      <c r="C56" s="310">
        <f>IF(BH56=1,3,IF(BI56=1,4,IF(BF56=1,1,IF(BJ56=1,5,IF(BG56=1,2,IF(BK56=1,6,IF(BL56=1,7,IF(BM56=1,8,IF(BN56=1,9,"-")))))))))</f>
        <v>9</v>
      </c>
      <c r="D56" s="310">
        <f>IF(AY56=1,3,IF(AZ56=1,4,IF(AW56=1,1,IF(BA56=1,5,IF(AX56=1,2,IF(BB56=1,6,IF(BC56=1,7,IF(BD56=1,8,IF(BE56=1,9,"-")))))))))</f>
        <v>9</v>
      </c>
      <c r="E56" s="310" t="str">
        <f>IF(OR(OR(O56="Very High",O56="High"),AND(OR(O56="Very High",O56="High",O56="Normal"),OR(P56="Very High",P56="High"))),"K","T")</f>
        <v>K</v>
      </c>
      <c r="F56" s="310" t="s">
        <v>103</v>
      </c>
      <c r="G56" s="310" t="s">
        <v>595</v>
      </c>
      <c r="H56" s="310" t="s">
        <v>386</v>
      </c>
      <c r="I56" s="310" t="s">
        <v>215</v>
      </c>
      <c r="J56" s="310">
        <v>29</v>
      </c>
      <c r="K56" s="310" t="s">
        <v>107</v>
      </c>
      <c r="L56" s="310" t="s">
        <v>107</v>
      </c>
      <c r="M56" s="310" t="s">
        <v>47</v>
      </c>
      <c r="N56" s="311" t="s">
        <v>47</v>
      </c>
      <c r="O56" s="310" t="s">
        <v>228</v>
      </c>
      <c r="P56" s="311" t="s">
        <v>230</v>
      </c>
      <c r="Q56" s="310">
        <v>6</v>
      </c>
      <c r="R56" s="310">
        <v>5</v>
      </c>
      <c r="S56" s="310">
        <v>2</v>
      </c>
      <c r="T56" s="310">
        <v>5</v>
      </c>
      <c r="U56" s="311">
        <v>7</v>
      </c>
      <c r="V56" s="310">
        <v>6</v>
      </c>
      <c r="W56" s="310">
        <v>5</v>
      </c>
      <c r="X56" s="310">
        <v>2</v>
      </c>
      <c r="Y56" s="310">
        <v>5</v>
      </c>
      <c r="Z56" s="311">
        <v>7</v>
      </c>
      <c r="AA56" s="310">
        <v>1</v>
      </c>
      <c r="AB56" s="310">
        <v>7</v>
      </c>
      <c r="AC56" s="310">
        <v>1</v>
      </c>
      <c r="AD56" s="310" t="s">
        <v>41</v>
      </c>
      <c r="AE56" s="310" t="s">
        <v>41</v>
      </c>
      <c r="AF56" s="310" t="s">
        <v>41</v>
      </c>
      <c r="AG56" s="310" t="s">
        <v>41</v>
      </c>
      <c r="AH56" s="310" t="s">
        <v>41</v>
      </c>
      <c r="AI56" s="310">
        <v>9</v>
      </c>
      <c r="AJ56" s="310">
        <v>5</v>
      </c>
      <c r="AK56" s="311">
        <v>8</v>
      </c>
      <c r="AL56" s="310">
        <v>7</v>
      </c>
      <c r="AM56" s="310">
        <v>8</v>
      </c>
      <c r="AN56" s="311">
        <v>7</v>
      </c>
      <c r="AO56" s="312" t="s">
        <v>41</v>
      </c>
      <c r="AP56" s="311" t="s">
        <v>46</v>
      </c>
      <c r="AQ56" s="313">
        <f>AVERAGE(Q56,S56,T56)+IF(OR(Q56&gt;7,AND(Q56&gt;5,T56&gt;5)),0.5,0)+IF(S56&gt;7,0.25,0)+IF(Q56&lt;6,-0.5*(6-Q56),0)</f>
        <v>4.333333333333333</v>
      </c>
      <c r="AR56" s="314" t="str">
        <f>IF(AQ56&gt;9,"SuperStar",IF(AQ56&gt;8,"Star",IF(AQ56&gt;6.5,"GoodReg",IF(AQ56&gt;5,"Reg",IF(AQ56&gt;4,"Bench","Minors")))))</f>
        <v>Bench</v>
      </c>
      <c r="AS56" s="313">
        <f>AVERAGE(V56,X56,Y56)+IF(OR(V56&gt;7,AND(V56&gt;5,Y56&gt;5)),0.5,0)+IF(X56&gt;7,0.25,0)+IF(V56&lt;6,-0.5*(6-V56),0)</f>
        <v>4.333333333333333</v>
      </c>
      <c r="AT56" s="313" t="str">
        <f>IF(AS56&gt;9,"SuperStar",IF(AS56&gt;8,"Star",IF(AS56&gt;6.5,"GoodReg",IF(AS56&gt;5,"Reg",IF(AS56&gt;4,"Bench","Minors")))))</f>
        <v>Bench</v>
      </c>
      <c r="AU56" s="314">
        <f>MIN(AQ56+(MAX(0,25-J56))^1.5,AS56)</f>
        <v>4.333333333333333</v>
      </c>
      <c r="AV56" s="314" t="str">
        <f>IF(AU56&gt;9,"SuperStar",IF(AU56&gt;8,"Star",IF(AU56&gt;6.5,"GoodReg",IF(AU56&gt;5,"Reg",IF(AU56&gt;4,"Bench","Minors")))))</f>
        <v>Bench</v>
      </c>
      <c r="AW56" s="315">
        <f>IF(AND(OR(Q56+T56&gt;12,AND(Q56&gt;6,T56&gt;6)),AL56&gt;6,OR(AM56&gt;=AL56,AM56&gt;6)),1,0)</f>
        <v>0</v>
      </c>
      <c r="AX56" s="316">
        <f>IF(OR(AND(Q56&gt;6,U56&gt;6),Q56+T56&gt;12),1,0)</f>
        <v>0</v>
      </c>
      <c r="AY56" s="316">
        <f>IF(AND(Q56&gt;6,S56&gt;6,T56&gt;6),1,0)</f>
        <v>0</v>
      </c>
      <c r="AZ56" s="316">
        <f>IF(AND(S56&gt;7,OR(Q56&gt;6,T56&gt;6)),1,0)</f>
        <v>0</v>
      </c>
      <c r="BA56" s="316">
        <f>IF(AND(S56&gt;6,OR(Q56&gt;6,T56&gt;6)),1,0)</f>
        <v>0</v>
      </c>
      <c r="BB56" s="316">
        <f>IF(AND(OR(Q56&gt;6,S56&gt;6),OR(Q56&gt;6,T56&gt;6)),1,0)</f>
        <v>0</v>
      </c>
      <c r="BC56" s="316">
        <f>IF(AND(Q56&gt;4,OR(Q56&gt;6,S56&gt;6,T56&gt;6)),1,0)</f>
        <v>0</v>
      </c>
      <c r="BD56" s="316">
        <f>IF(AND(Q56&gt;4,OR(Q56&gt;6,R56&gt;6,S56&gt;6,T56&gt;6)),1,0)</f>
        <v>0</v>
      </c>
      <c r="BE56" s="311">
        <f>IF(AND(Q56&gt;4,MAX(Q56:U56)&gt;6),1,0)</f>
        <v>1</v>
      </c>
      <c r="BF56" s="315">
        <f>IF(AND(OR(V56+Y56&gt;12,AND(V56&gt;6,Y56&gt;6)),AL56&gt;6,OR(AM56&gt;=AL56,AM56&gt;6)),1,0)</f>
        <v>0</v>
      </c>
      <c r="BG56" s="316">
        <f>IF(OR(AND(V56&gt;6,Z56&gt;6),V56+Y56&gt;12),1,0)</f>
        <v>0</v>
      </c>
      <c r="BH56" s="316">
        <f>IF(AND(V56&gt;6,X56&gt;6,Y56&gt;6),1,0)</f>
        <v>0</v>
      </c>
      <c r="BI56" s="316">
        <f>IF(AND(X56&gt;7,OR(V56&gt;6,Y56&gt;6)),1,0)</f>
        <v>0</v>
      </c>
      <c r="BJ56" s="316">
        <f>IF(AND(X56&gt;6,OR(V56&gt;6,Y56&gt;6)),1,0)</f>
        <v>0</v>
      </c>
      <c r="BK56" s="316">
        <f>IF(AND(OR(V56&gt;6,X56&gt;6),OR(V56&gt;6,Y56&gt;6)),1,0)</f>
        <v>0</v>
      </c>
      <c r="BL56" s="316">
        <f>IF(AND(V56&gt;4,OR(V56&gt;6,X56&gt;6,Y56&gt;6)),1,0)</f>
        <v>0</v>
      </c>
      <c r="BM56" s="316">
        <f>IF(AND(V56&gt;4,OR(V56&gt;6,W56&gt;6,X56&gt;6,Y56&gt;6)),1,0)</f>
        <v>0</v>
      </c>
      <c r="BN56" s="311">
        <f>IF(AND(V56&gt;4,MAX(V56:Z56)&gt;6),1,0)</f>
        <v>1</v>
      </c>
      <c r="BO56" s="311">
        <f>IF(AVERAGE(AL56:AM56)&gt;9,1,0)+IF(AVERAGE(AL56:AM56)&gt;7,1,0)+IF(AL56&gt;7,1,0)+IF(AM56&gt;7,1,0)+IF(AN56&gt;8,1,0)+IF(AN56&gt;6,1,0)</f>
        <v>3</v>
      </c>
      <c r="BP56" s="317">
        <f>IF(OR(MAX(AD56,AE56,AI56,AK56)&gt;6,MAX(AF56,AG56,AH56,AJ56)&gt;7),2,IF(MAX(AD56:AK56)&gt;4,1,0))</f>
        <v>2</v>
      </c>
      <c r="BQ56" s="310" t="str">
        <f>IF(AP56=1,"Yes","")</f>
        <v/>
      </c>
      <c r="BR56" s="309" t="str">
        <f>IF($A56="ML","There",IF(AND($V56&gt;=6,AVERAGE($X56:$Y56)&gt;=6),"Likely",IF(OR($V56&gt;6,AND($V56=6,AVERAGE($X56:$Y56)&gt;=3),AND($V56&gt;=5,AVERAGE($X56:$Y56)&gt;=5),AVERAGE($V56,$X56:$Y56)&gt;5),"Possible","Unlikely")))</f>
        <v>Possible</v>
      </c>
      <c r="BS56" s="310" t="str">
        <f>IF(OR(AND(Q56&gt;=6,S56+T56&gt;=12),Q56&gt;7),"Start",IF(AND(Q56&gt;=5,S56+T56&gt;=8),"Bench","aack!"))</f>
        <v>aack!</v>
      </c>
      <c r="BT56" s="310" t="str">
        <f>IF(OR(AND(V56&gt;=6,X56+Y56&gt;=12),V56&gt;7),"Start",IF(AND(V56&gt;=5,X56+Y56&gt;=8),"Bench","aack!"))</f>
        <v>aack!</v>
      </c>
      <c r="BU56" s="310" t="str">
        <f>IF(Q56&gt;5,"ML",IF(Q56=5,"AAA",IF(Q56=4,"AA",IF(Q56=3,"A","SS-A"))))</f>
        <v>ML</v>
      </c>
      <c r="BV56" s="310">
        <f>Q56-V56</f>
        <v>0</v>
      </c>
      <c r="BW56" s="310">
        <f>R56-W56</f>
        <v>0</v>
      </c>
      <c r="BX56" s="310">
        <f>S56-X56</f>
        <v>0</v>
      </c>
      <c r="BY56" s="310">
        <f>T56-Y56</f>
        <v>0</v>
      </c>
      <c r="BZ56" s="310">
        <f>U56-Z56</f>
        <v>0</v>
      </c>
      <c r="CA56" s="310">
        <f>SUM(BV56:BZ56)</f>
        <v>0</v>
      </c>
      <c r="CB56" s="310">
        <f>V56+X56+Y56</f>
        <v>13</v>
      </c>
      <c r="CC56" s="310">
        <f>V56+X56</f>
        <v>8</v>
      </c>
      <c r="CD56" s="310">
        <f>V56+Y56</f>
        <v>11</v>
      </c>
      <c r="CE56" s="310" t="str">
        <f>IF(J56&gt;24,"Now - Age",IF(Q56&gt;6,"Now",IF(V56&lt;6,"With Dev",MIN(V56-Q56,7-Q56))))</f>
        <v>Now - Age</v>
      </c>
      <c r="CF56" s="325" t="str">
        <f t="shared" si="12"/>
        <v/>
      </c>
      <c r="CG56" s="325" t="str">
        <f t="shared" si="5"/>
        <v/>
      </c>
      <c r="CH56" s="325" t="str">
        <f t="shared" si="6"/>
        <v/>
      </c>
      <c r="CI56" s="325" t="str">
        <f t="shared" si="7"/>
        <v/>
      </c>
      <c r="CJ56" s="325" t="str">
        <f t="shared" si="8"/>
        <v/>
      </c>
      <c r="CK56" s="325" t="str">
        <f t="shared" si="9"/>
        <v>X</v>
      </c>
      <c r="CL56" s="325" t="str">
        <f t="shared" si="10"/>
        <v/>
      </c>
      <c r="CM56" s="325" t="str">
        <f t="shared" si="11"/>
        <v>X</v>
      </c>
      <c r="CN56" s="325" t="str">
        <f t="shared" si="4"/>
        <v/>
      </c>
    </row>
    <row r="57" spans="1:92">
      <c r="A57" s="308" t="s">
        <v>215</v>
      </c>
      <c r="B57" s="309" t="s">
        <v>18</v>
      </c>
      <c r="C57" s="310">
        <f>IF(BH57=1,3,IF(BI57=1,4,IF(BF57=1,1,IF(BJ57=1,5,IF(BG57=1,2,IF(BK57=1,6,IF(BL57=1,7,IF(BM57=1,8,IF(BN57=1,9,"-")))))))))</f>
        <v>6</v>
      </c>
      <c r="D57" s="310" t="str">
        <f>IF(AY57=1,3,IF(AZ57=1,4,IF(AW57=1,1,IF(BA57=1,5,IF(AX57=1,2,IF(BB57=1,6,IF(BC57=1,7,IF(BD57=1,8,IF(BE57=1,9,"-")))))))))</f>
        <v>-</v>
      </c>
      <c r="E57" s="310" t="str">
        <f>IF(OR(OR(O57="Very High",O57="High"),AND(OR(O57="Very High",O57="High",O57="Normal"),OR(P57="Very High",P57="High"))),"K","T")</f>
        <v>K</v>
      </c>
      <c r="F57" s="310" t="s">
        <v>97</v>
      </c>
      <c r="G57" s="310" t="s">
        <v>399</v>
      </c>
      <c r="H57" s="310" t="s">
        <v>386</v>
      </c>
      <c r="I57" s="310" t="s">
        <v>215</v>
      </c>
      <c r="J57" s="310">
        <v>21</v>
      </c>
      <c r="K57" s="310" t="s">
        <v>106</v>
      </c>
      <c r="L57" s="310" t="s">
        <v>107</v>
      </c>
      <c r="M57" s="310" t="s">
        <v>47</v>
      </c>
      <c r="N57" s="311" t="s">
        <v>47</v>
      </c>
      <c r="O57" s="310" t="s">
        <v>229</v>
      </c>
      <c r="P57" s="311" t="s">
        <v>228</v>
      </c>
      <c r="Q57" s="310">
        <v>6</v>
      </c>
      <c r="R57" s="310">
        <v>4</v>
      </c>
      <c r="S57" s="310">
        <v>3</v>
      </c>
      <c r="T57" s="310">
        <v>4</v>
      </c>
      <c r="U57" s="311">
        <v>3</v>
      </c>
      <c r="V57" s="310">
        <v>7</v>
      </c>
      <c r="W57" s="310">
        <v>5</v>
      </c>
      <c r="X57" s="310">
        <v>5</v>
      </c>
      <c r="Y57" s="310">
        <v>5</v>
      </c>
      <c r="Z57" s="311">
        <v>4</v>
      </c>
      <c r="AA57" s="310">
        <v>2</v>
      </c>
      <c r="AB57" s="310">
        <v>1</v>
      </c>
      <c r="AC57" s="310">
        <v>1</v>
      </c>
      <c r="AD57" s="310" t="s">
        <v>41</v>
      </c>
      <c r="AE57" s="310">
        <v>3</v>
      </c>
      <c r="AF57" s="310" t="s">
        <v>41</v>
      </c>
      <c r="AG57" s="310" t="s">
        <v>41</v>
      </c>
      <c r="AH57" s="310" t="s">
        <v>41</v>
      </c>
      <c r="AI57" s="310" t="s">
        <v>41</v>
      </c>
      <c r="AJ57" s="310" t="s">
        <v>41</v>
      </c>
      <c r="AK57" s="311" t="s">
        <v>41</v>
      </c>
      <c r="AL57" s="310">
        <v>1</v>
      </c>
      <c r="AM57" s="310">
        <v>2</v>
      </c>
      <c r="AN57" s="311">
        <v>2</v>
      </c>
      <c r="AO57" s="312" t="s">
        <v>41</v>
      </c>
      <c r="AP57" s="311">
        <v>0</v>
      </c>
      <c r="AQ57" s="313">
        <f>AVERAGE(Q57,S57,T57)+IF(OR(Q57&gt;7,AND(Q57&gt;5,T57&gt;5)),0.5,0)+IF(S57&gt;7,0.25,0)+IF(Q57&lt;6,-0.5*(6-Q57),0)</f>
        <v>4.333333333333333</v>
      </c>
      <c r="AR57" s="314" t="str">
        <f>IF(AQ57&gt;9,"SuperStar",IF(AQ57&gt;8,"Star",IF(AQ57&gt;6.5,"GoodReg",IF(AQ57&gt;5,"Reg",IF(AQ57&gt;4,"Bench","Minors")))))</f>
        <v>Bench</v>
      </c>
      <c r="AS57" s="313">
        <f>AVERAGE(V57,X57,Y57)+IF(OR(V57&gt;7,AND(V57&gt;5,Y57&gt;5)),0.5,0)+IF(X57&gt;7,0.25,0)+IF(V57&lt;6,-0.5*(6-V57),0)</f>
        <v>5.666666666666667</v>
      </c>
      <c r="AT57" s="313" t="str">
        <f>IF(AS57&gt;9,"SuperStar",IF(AS57&gt;8,"Star",IF(AS57&gt;6.5,"GoodReg",IF(AS57&gt;5,"Reg",IF(AS57&gt;4,"Bench","Minors")))))</f>
        <v>Reg</v>
      </c>
      <c r="AU57" s="314">
        <f>MIN(AQ57+(MAX(0,25-J57))^1.5,AS57)</f>
        <v>5.666666666666667</v>
      </c>
      <c r="AV57" s="314" t="str">
        <f>IF(AU57&gt;9,"SuperStar",IF(AU57&gt;8,"Star",IF(AU57&gt;6.5,"GoodReg",IF(AU57&gt;5,"Reg",IF(AU57&gt;4,"Bench","Minors")))))</f>
        <v>Reg</v>
      </c>
      <c r="AW57" s="315">
        <f>IF(AND(OR(Q57+T57&gt;12,AND(Q57&gt;6,T57&gt;6)),AL57&gt;6,OR(AM57&gt;=AL57,AM57&gt;6)),1,0)</f>
        <v>0</v>
      </c>
      <c r="AX57" s="316">
        <f>IF(OR(AND(Q57&gt;6,U57&gt;6),Q57+T57&gt;12),1,0)</f>
        <v>0</v>
      </c>
      <c r="AY57" s="316">
        <f>IF(AND(Q57&gt;6,S57&gt;6,T57&gt;6),1,0)</f>
        <v>0</v>
      </c>
      <c r="AZ57" s="316">
        <f>IF(AND(S57&gt;7,OR(Q57&gt;6,T57&gt;6)),1,0)</f>
        <v>0</v>
      </c>
      <c r="BA57" s="316">
        <f>IF(AND(S57&gt;6,OR(Q57&gt;6,T57&gt;6)),1,0)</f>
        <v>0</v>
      </c>
      <c r="BB57" s="316">
        <f>IF(AND(OR(Q57&gt;6,S57&gt;6),OR(Q57&gt;6,T57&gt;6)),1,0)</f>
        <v>0</v>
      </c>
      <c r="BC57" s="316">
        <f>IF(AND(Q57&gt;4,OR(Q57&gt;6,S57&gt;6,T57&gt;6)),1,0)</f>
        <v>0</v>
      </c>
      <c r="BD57" s="316">
        <f>IF(AND(Q57&gt;4,OR(Q57&gt;6,R57&gt;6,S57&gt;6,T57&gt;6)),1,0)</f>
        <v>0</v>
      </c>
      <c r="BE57" s="311">
        <f>IF(AND(Q57&gt;4,MAX(Q57:U57)&gt;6),1,0)</f>
        <v>0</v>
      </c>
      <c r="BF57" s="315">
        <f>IF(AND(OR(V57+Y57&gt;12,AND(V57&gt;6,Y57&gt;6)),AL57&gt;6,OR(AM57&gt;=AL57,AM57&gt;6)),1,0)</f>
        <v>0</v>
      </c>
      <c r="BG57" s="316">
        <f>IF(OR(AND(V57&gt;6,Z57&gt;6),V57+Y57&gt;12),1,0)</f>
        <v>0</v>
      </c>
      <c r="BH57" s="316">
        <f>IF(AND(V57&gt;6,X57&gt;6,Y57&gt;6),1,0)</f>
        <v>0</v>
      </c>
      <c r="BI57" s="316">
        <f>IF(AND(X57&gt;7,OR(V57&gt;6,Y57&gt;6)),1,0)</f>
        <v>0</v>
      </c>
      <c r="BJ57" s="316">
        <f>IF(AND(X57&gt;6,OR(V57&gt;6,Y57&gt;6)),1,0)</f>
        <v>0</v>
      </c>
      <c r="BK57" s="316">
        <f>IF(AND(OR(V57&gt;6,X57&gt;6),OR(V57&gt;6,Y57&gt;6)),1,0)</f>
        <v>1</v>
      </c>
      <c r="BL57" s="316">
        <f>IF(AND(V57&gt;4,OR(V57&gt;6,X57&gt;6,Y57&gt;6)),1,0)</f>
        <v>1</v>
      </c>
      <c r="BM57" s="316">
        <f>IF(AND(V57&gt;4,OR(V57&gt;6,W57&gt;6,X57&gt;6,Y57&gt;6)),1,0)</f>
        <v>1</v>
      </c>
      <c r="BN57" s="311">
        <f>IF(AND(V57&gt;4,MAX(V57:Z57)&gt;6),1,0)</f>
        <v>1</v>
      </c>
      <c r="BO57" s="311">
        <f>IF(AVERAGE(AL57:AM57)&gt;9,1,0)+IF(AVERAGE(AL57:AM57)&gt;7,1,0)+IF(AL57&gt;7,1,0)+IF(AM57&gt;7,1,0)+IF(AN57&gt;8,1,0)+IF(AN57&gt;6,1,0)</f>
        <v>0</v>
      </c>
      <c r="BP57" s="317">
        <f>IF(OR(MAX(AD57,AE57,AI57,AK57)&gt;6,MAX(AF57,AG57,AH57,AJ57)&gt;7),2,IF(MAX(AD57:AK57)&gt;4,1,0))</f>
        <v>0</v>
      </c>
      <c r="BQ57" s="310" t="str">
        <f>IF(AP57=1,"Yes","")</f>
        <v/>
      </c>
      <c r="BR57" s="309" t="str">
        <f>IF($A57="ML","There",IF(AND($V57&gt;=6,AVERAGE($X57:$Y57)&gt;=6),"Likely",IF(OR($V57&gt;6,AND($V57=6,AVERAGE($X57:$Y57)&gt;=3),AND($V57&gt;=5,AVERAGE($X57:$Y57)&gt;=5),AVERAGE($V57,$X57:$Y57)&gt;5),"Possible","Unlikely")))</f>
        <v>Possible</v>
      </c>
      <c r="BS57" s="310" t="str">
        <f>IF(OR(AND(Q57&gt;=6,S57+T57&gt;=12),Q57&gt;7),"Start",IF(AND(Q57&gt;=5,S57+T57&gt;=8),"Bench","aack!"))</f>
        <v>aack!</v>
      </c>
      <c r="BT57" s="310" t="str">
        <f>IF(OR(AND(V57&gt;=6,X57+Y57&gt;=12),V57&gt;7),"Start",IF(AND(V57&gt;=5,X57+Y57&gt;=8),"Bench","aack!"))</f>
        <v>Bench</v>
      </c>
      <c r="BU57" s="310" t="str">
        <f>IF(Q57&gt;5,"ML",IF(Q57=5,"AAA",IF(Q57=4,"AA",IF(Q57=3,"A","SS-A"))))</f>
        <v>ML</v>
      </c>
      <c r="BV57" s="310">
        <f>Q57-V57</f>
        <v>-1</v>
      </c>
      <c r="BW57" s="310">
        <f>R57-W57</f>
        <v>-1</v>
      </c>
      <c r="BX57" s="310">
        <f>S57-X57</f>
        <v>-2</v>
      </c>
      <c r="BY57" s="310">
        <f>T57-Y57</f>
        <v>-1</v>
      </c>
      <c r="BZ57" s="310">
        <f>U57-Z57</f>
        <v>-1</v>
      </c>
      <c r="CA57" s="310">
        <f>SUM(BV57:BZ57)</f>
        <v>-6</v>
      </c>
      <c r="CB57" s="310">
        <f>V57+X57+Y57</f>
        <v>17</v>
      </c>
      <c r="CC57" s="310">
        <f>V57+X57</f>
        <v>12</v>
      </c>
      <c r="CD57" s="310">
        <f>V57+Y57</f>
        <v>12</v>
      </c>
      <c r="CE57" s="310">
        <f>IF(J57&gt;24,"Now - Age",IF(Q57&gt;6,"Now",IF(V57&lt;6,"With Dev",MIN(V57-Q57,7-Q57))))</f>
        <v>1</v>
      </c>
      <c r="CF57" s="325" t="str">
        <f t="shared" si="12"/>
        <v/>
      </c>
      <c r="CG57" s="325" t="str">
        <f t="shared" si="5"/>
        <v/>
      </c>
      <c r="CH57" s="325" t="str">
        <f t="shared" si="6"/>
        <v/>
      </c>
      <c r="CI57" s="325" t="str">
        <f t="shared" si="7"/>
        <v/>
      </c>
      <c r="CJ57" s="325" t="str">
        <f t="shared" si="8"/>
        <v/>
      </c>
      <c r="CK57" s="325" t="str">
        <f t="shared" si="9"/>
        <v/>
      </c>
      <c r="CL57" s="325" t="str">
        <f t="shared" si="10"/>
        <v/>
      </c>
      <c r="CM57" s="325" t="str">
        <f t="shared" si="11"/>
        <v/>
      </c>
      <c r="CN57" s="325" t="str">
        <f t="shared" si="4"/>
        <v>X</v>
      </c>
    </row>
    <row r="58" spans="1:92">
      <c r="A58" s="308" t="s">
        <v>215</v>
      </c>
      <c r="B58" s="309" t="s">
        <v>97</v>
      </c>
      <c r="C58" s="310">
        <f>IF(BH58=1,3,IF(BI58=1,4,IF(BF58=1,1,IF(BJ58=1,5,IF(BG58=1,2,IF(BK58=1,6,IF(BL58=1,7,IF(BM58=1,8,IF(BN58=1,9,"-")))))))))</f>
        <v>8</v>
      </c>
      <c r="D58" s="310">
        <f>IF(AY58=1,3,IF(AZ58=1,4,IF(AW58=1,1,IF(BA58=1,5,IF(AX58=1,2,IF(BB58=1,6,IF(BC58=1,7,IF(BD58=1,8,IF(BE58=1,9,"-")))))))))</f>
        <v>8</v>
      </c>
      <c r="E58" s="310" t="str">
        <f>IF(OR(OR(O58="Very High",O58="High"),AND(OR(O58="Very High",O58="High",O58="Normal"),OR(P58="Very High",P58="High"))),"K","T")</f>
        <v>T</v>
      </c>
      <c r="F58" s="310" t="s">
        <v>97</v>
      </c>
      <c r="G58" s="310" t="s">
        <v>238</v>
      </c>
      <c r="H58" s="310" t="s">
        <v>386</v>
      </c>
      <c r="I58" s="310" t="s">
        <v>215</v>
      </c>
      <c r="J58" s="310">
        <v>23</v>
      </c>
      <c r="K58" s="310" t="s">
        <v>107</v>
      </c>
      <c r="L58" s="310" t="s">
        <v>107</v>
      </c>
      <c r="M58" s="310" t="s">
        <v>47</v>
      </c>
      <c r="N58" s="311" t="s">
        <v>47</v>
      </c>
      <c r="O58" s="310" t="s">
        <v>231</v>
      </c>
      <c r="P58" s="311" t="s">
        <v>228</v>
      </c>
      <c r="Q58" s="310">
        <v>5</v>
      </c>
      <c r="R58" s="310">
        <v>8</v>
      </c>
      <c r="S58" s="310">
        <v>3</v>
      </c>
      <c r="T58" s="310">
        <v>4</v>
      </c>
      <c r="U58" s="311">
        <v>4</v>
      </c>
      <c r="V58" s="310">
        <v>6</v>
      </c>
      <c r="W58" s="310">
        <v>8</v>
      </c>
      <c r="X58" s="310">
        <v>3</v>
      </c>
      <c r="Y58" s="310">
        <v>4</v>
      </c>
      <c r="Z58" s="311">
        <v>5</v>
      </c>
      <c r="AA58" s="310">
        <v>3</v>
      </c>
      <c r="AB58" s="310">
        <v>4</v>
      </c>
      <c r="AC58" s="310">
        <v>1</v>
      </c>
      <c r="AD58" s="310" t="s">
        <v>41</v>
      </c>
      <c r="AE58" s="310">
        <v>6</v>
      </c>
      <c r="AF58" s="310" t="s">
        <v>41</v>
      </c>
      <c r="AG58" s="310" t="s">
        <v>41</v>
      </c>
      <c r="AH58" s="310" t="s">
        <v>41</v>
      </c>
      <c r="AI58" s="310" t="s">
        <v>41</v>
      </c>
      <c r="AJ58" s="310" t="s">
        <v>41</v>
      </c>
      <c r="AK58" s="311" t="s">
        <v>41</v>
      </c>
      <c r="AL58" s="310">
        <v>2</v>
      </c>
      <c r="AM58" s="310">
        <v>1</v>
      </c>
      <c r="AN58" s="311">
        <v>1</v>
      </c>
      <c r="AO58" s="312" t="s">
        <v>41</v>
      </c>
      <c r="AP58" s="311">
        <v>0</v>
      </c>
      <c r="AQ58" s="313">
        <f>AVERAGE(Q58,S58,T58)+IF(OR(Q58&gt;7,AND(Q58&gt;5,T58&gt;5)),0.5,0)+IF(S58&gt;7,0.25,0)+IF(Q58&lt;6,-0.5*(6-Q58),0)</f>
        <v>3.5</v>
      </c>
      <c r="AR58" s="314" t="str">
        <f>IF(AQ58&gt;9,"SuperStar",IF(AQ58&gt;8,"Star",IF(AQ58&gt;6.5,"GoodReg",IF(AQ58&gt;5,"Reg",IF(AQ58&gt;4,"Bench","Minors")))))</f>
        <v>Minors</v>
      </c>
      <c r="AS58" s="313">
        <f>AVERAGE(V58,X58,Y58)+IF(OR(V58&gt;7,AND(V58&gt;5,Y58&gt;5)),0.5,0)+IF(X58&gt;7,0.25,0)+IF(V58&lt;6,-0.5*(6-V58),0)</f>
        <v>4.333333333333333</v>
      </c>
      <c r="AT58" s="313" t="str">
        <f>IF(AS58&gt;9,"SuperStar",IF(AS58&gt;8,"Star",IF(AS58&gt;6.5,"GoodReg",IF(AS58&gt;5,"Reg",IF(AS58&gt;4,"Bench","Minors")))))</f>
        <v>Bench</v>
      </c>
      <c r="AU58" s="314">
        <f>MIN(AQ58+(MAX(0,25-J58))^1.5,AS58)</f>
        <v>4.333333333333333</v>
      </c>
      <c r="AV58" s="314" t="str">
        <f>IF(AU58&gt;9,"SuperStar",IF(AU58&gt;8,"Star",IF(AU58&gt;6.5,"GoodReg",IF(AU58&gt;5,"Reg",IF(AU58&gt;4,"Bench","Minors")))))</f>
        <v>Bench</v>
      </c>
      <c r="AW58" s="315">
        <f>IF(AND(OR(Q58+T58&gt;12,AND(Q58&gt;6,T58&gt;6)),AL58&gt;6,OR(AM58&gt;=AL58,AM58&gt;6)),1,0)</f>
        <v>0</v>
      </c>
      <c r="AX58" s="316">
        <f>IF(OR(AND(Q58&gt;6,U58&gt;6),Q58+T58&gt;12),1,0)</f>
        <v>0</v>
      </c>
      <c r="AY58" s="316">
        <f>IF(AND(Q58&gt;6,S58&gt;6,T58&gt;6),1,0)</f>
        <v>0</v>
      </c>
      <c r="AZ58" s="316">
        <f>IF(AND(S58&gt;7,OR(Q58&gt;6,T58&gt;6)),1,0)</f>
        <v>0</v>
      </c>
      <c r="BA58" s="316">
        <f>IF(AND(S58&gt;6,OR(Q58&gt;6,T58&gt;6)),1,0)</f>
        <v>0</v>
      </c>
      <c r="BB58" s="316">
        <f>IF(AND(OR(Q58&gt;6,S58&gt;6),OR(Q58&gt;6,T58&gt;6)),1,0)</f>
        <v>0</v>
      </c>
      <c r="BC58" s="316">
        <f>IF(AND(Q58&gt;4,OR(Q58&gt;6,S58&gt;6,T58&gt;6)),1,0)</f>
        <v>0</v>
      </c>
      <c r="BD58" s="316">
        <f>IF(AND(Q58&gt;4,OR(Q58&gt;6,R58&gt;6,S58&gt;6,T58&gt;6)),1,0)</f>
        <v>1</v>
      </c>
      <c r="BE58" s="311">
        <f>IF(AND(Q58&gt;4,MAX(Q58:U58)&gt;6),1,0)</f>
        <v>1</v>
      </c>
      <c r="BF58" s="315">
        <f>IF(AND(OR(V58+Y58&gt;12,AND(V58&gt;6,Y58&gt;6)),AL58&gt;6,OR(AM58&gt;=AL58,AM58&gt;6)),1,0)</f>
        <v>0</v>
      </c>
      <c r="BG58" s="316">
        <f>IF(OR(AND(V58&gt;6,Z58&gt;6),V58+Y58&gt;12),1,0)</f>
        <v>0</v>
      </c>
      <c r="BH58" s="316">
        <f>IF(AND(V58&gt;6,X58&gt;6,Y58&gt;6),1,0)</f>
        <v>0</v>
      </c>
      <c r="BI58" s="316">
        <f>IF(AND(X58&gt;7,OR(V58&gt;6,Y58&gt;6)),1,0)</f>
        <v>0</v>
      </c>
      <c r="BJ58" s="316">
        <f>IF(AND(X58&gt;6,OR(V58&gt;6,Y58&gt;6)),1,0)</f>
        <v>0</v>
      </c>
      <c r="BK58" s="316">
        <f>IF(AND(OR(V58&gt;6,X58&gt;6),OR(V58&gt;6,Y58&gt;6)),1,0)</f>
        <v>0</v>
      </c>
      <c r="BL58" s="316">
        <f>IF(AND(V58&gt;4,OR(V58&gt;6,X58&gt;6,Y58&gt;6)),1,0)</f>
        <v>0</v>
      </c>
      <c r="BM58" s="316">
        <f>IF(AND(V58&gt;4,OR(V58&gt;6,W58&gt;6,X58&gt;6,Y58&gt;6)),1,0)</f>
        <v>1</v>
      </c>
      <c r="BN58" s="311">
        <f>IF(AND(V58&gt;4,MAX(V58:Z58)&gt;6),1,0)</f>
        <v>1</v>
      </c>
      <c r="BO58" s="311">
        <f>IF(AVERAGE(AL58:AM58)&gt;9,1,0)+IF(AVERAGE(AL58:AM58)&gt;7,1,0)+IF(AL58&gt;7,1,0)+IF(AM58&gt;7,1,0)+IF(AN58&gt;8,1,0)+IF(AN58&gt;6,1,0)</f>
        <v>0</v>
      </c>
      <c r="BP58" s="317">
        <f>IF(OR(MAX(AD58,AE58,AI58,AK58)&gt;6,MAX(AF58,AG58,AH58,AJ58)&gt;7),2,IF(MAX(AD58:AK58)&gt;4,1,0))</f>
        <v>1</v>
      </c>
      <c r="BQ58" s="310" t="str">
        <f>IF(AP58=1,"Yes","")</f>
        <v/>
      </c>
      <c r="BR58" s="309" t="str">
        <f>IF($A58="ML","There",IF(AND($V58&gt;=6,AVERAGE($X58:$Y58)&gt;=6),"Likely",IF(OR($V58&gt;6,AND($V58=6,AVERAGE($X58:$Y58)&gt;=3),AND($V58&gt;=5,AVERAGE($X58:$Y58)&gt;=5),AVERAGE($V58,$X58:$Y58)&gt;5),"Possible","Unlikely")))</f>
        <v>Possible</v>
      </c>
      <c r="BS58" s="310" t="str">
        <f>IF(OR(AND(Q58&gt;=6,S58+T58&gt;=12),Q58&gt;7),"Start",IF(AND(Q58&gt;=5,S58+T58&gt;=8),"Bench","aack!"))</f>
        <v>aack!</v>
      </c>
      <c r="BT58" s="310" t="str">
        <f>IF(OR(AND(V58&gt;=6,X58+Y58&gt;=12),V58&gt;7),"Start",IF(AND(V58&gt;=5,X58+Y58&gt;=8),"Bench","aack!"))</f>
        <v>aack!</v>
      </c>
      <c r="BU58" s="310" t="str">
        <f>IF(Q58&gt;5,"ML",IF(Q58=5,"AAA",IF(Q58=4,"AA",IF(Q58=3,"A","SS-A"))))</f>
        <v>AAA</v>
      </c>
      <c r="BV58" s="310">
        <f>Q58-V58</f>
        <v>-1</v>
      </c>
      <c r="BW58" s="310">
        <f>R58-W58</f>
        <v>0</v>
      </c>
      <c r="BX58" s="310">
        <f>S58-X58</f>
        <v>0</v>
      </c>
      <c r="BY58" s="310">
        <f>T58-Y58</f>
        <v>0</v>
      </c>
      <c r="BZ58" s="310">
        <f>U58-Z58</f>
        <v>-1</v>
      </c>
      <c r="CA58" s="310">
        <f>SUM(BV58:BZ58)</f>
        <v>-2</v>
      </c>
      <c r="CB58" s="310">
        <f>V58+X58+Y58</f>
        <v>13</v>
      </c>
      <c r="CC58" s="310">
        <f>V58+X58</f>
        <v>9</v>
      </c>
      <c r="CD58" s="310">
        <f>V58+Y58</f>
        <v>10</v>
      </c>
      <c r="CE58" s="310">
        <f>IF(J58&gt;24,"Now - Age",IF(Q58&gt;6,"Now",IF(V58&lt;6,"With Dev",MIN(V58-Q58,7-Q58))))</f>
        <v>1</v>
      </c>
      <c r="CF58" s="325" t="str">
        <f t="shared" si="12"/>
        <v/>
      </c>
      <c r="CG58" s="325" t="str">
        <f t="shared" si="5"/>
        <v>X</v>
      </c>
      <c r="CH58" s="325" t="str">
        <f t="shared" si="6"/>
        <v/>
      </c>
      <c r="CI58" s="325" t="str">
        <f t="shared" si="7"/>
        <v/>
      </c>
      <c r="CJ58" s="325" t="str">
        <f t="shared" si="8"/>
        <v/>
      </c>
      <c r="CK58" s="325" t="str">
        <f t="shared" si="9"/>
        <v/>
      </c>
      <c r="CL58" s="325" t="str">
        <f t="shared" si="10"/>
        <v/>
      </c>
      <c r="CM58" s="325" t="str">
        <f t="shared" si="11"/>
        <v/>
      </c>
      <c r="CN58" s="325" t="str">
        <f t="shared" si="4"/>
        <v/>
      </c>
    </row>
    <row r="59" spans="1:92">
      <c r="A59" s="308" t="s">
        <v>215</v>
      </c>
      <c r="B59" s="309" t="s">
        <v>100</v>
      </c>
      <c r="C59" s="310" t="str">
        <f>IF(BH59=1,3,IF(BI59=1,4,IF(BF59=1,1,IF(BJ59=1,5,IF(BG59=1,2,IF(BK59=1,6,IF(BL59=1,7,IF(BM59=1,8,IF(BN59=1,9,"-")))))))))</f>
        <v>-</v>
      </c>
      <c r="D59" s="310" t="str">
        <f>IF(AY59=1,3,IF(AZ59=1,4,IF(AW59=1,1,IF(BA59=1,5,IF(AX59=1,2,IF(BB59=1,6,IF(BC59=1,7,IF(BD59=1,8,IF(BE59=1,9,"-")))))))))</f>
        <v>-</v>
      </c>
      <c r="E59" s="310" t="str">
        <f>IF(OR(OR(O59="Very High",O59="High"),AND(OR(O59="Very High",O59="High",O59="Normal"),OR(P59="Very High",P59="High"))),"K","T")</f>
        <v>K</v>
      </c>
      <c r="F59" s="310" t="s">
        <v>100</v>
      </c>
      <c r="G59" s="310" t="s">
        <v>467</v>
      </c>
      <c r="H59" s="310" t="s">
        <v>384</v>
      </c>
      <c r="I59" s="310" t="s">
        <v>213</v>
      </c>
      <c r="J59" s="310">
        <v>26</v>
      </c>
      <c r="K59" s="310" t="s">
        <v>107</v>
      </c>
      <c r="L59" s="310" t="s">
        <v>107</v>
      </c>
      <c r="M59" s="310" t="s">
        <v>47</v>
      </c>
      <c r="N59" s="311" t="s">
        <v>47</v>
      </c>
      <c r="O59" s="310" t="s">
        <v>229</v>
      </c>
      <c r="P59" s="311" t="s">
        <v>231</v>
      </c>
      <c r="Q59" s="310">
        <v>5</v>
      </c>
      <c r="R59" s="310">
        <v>5</v>
      </c>
      <c r="S59" s="310">
        <v>2</v>
      </c>
      <c r="T59" s="310">
        <v>5</v>
      </c>
      <c r="U59" s="311">
        <v>4</v>
      </c>
      <c r="V59" s="310">
        <v>5</v>
      </c>
      <c r="W59" s="310">
        <v>5</v>
      </c>
      <c r="X59" s="310">
        <v>2</v>
      </c>
      <c r="Y59" s="310">
        <v>5</v>
      </c>
      <c r="Z59" s="311">
        <v>4</v>
      </c>
      <c r="AA59" s="310">
        <v>5</v>
      </c>
      <c r="AB59" s="310">
        <v>3</v>
      </c>
      <c r="AC59" s="310">
        <v>1</v>
      </c>
      <c r="AD59" s="310" t="s">
        <v>41</v>
      </c>
      <c r="AE59" s="310">
        <v>10</v>
      </c>
      <c r="AF59" s="310">
        <v>7</v>
      </c>
      <c r="AG59" s="310">
        <v>3</v>
      </c>
      <c r="AH59" s="310">
        <v>8</v>
      </c>
      <c r="AI59" s="310" t="s">
        <v>41</v>
      </c>
      <c r="AJ59" s="310" t="s">
        <v>41</v>
      </c>
      <c r="AK59" s="311" t="s">
        <v>41</v>
      </c>
      <c r="AL59" s="310">
        <v>5</v>
      </c>
      <c r="AM59" s="310">
        <v>8</v>
      </c>
      <c r="AN59" s="311">
        <v>8</v>
      </c>
      <c r="AO59" s="312" t="s">
        <v>41</v>
      </c>
      <c r="AP59" s="311" t="s">
        <v>45</v>
      </c>
      <c r="AQ59" s="313">
        <f>AVERAGE(Q59,S59,T59)+IF(OR(Q59&gt;7,AND(Q59&gt;5,T59&gt;5)),0.5,0)+IF(S59&gt;7,0.25,0)+IF(Q59&lt;6,-0.5*(6-Q59),0)</f>
        <v>3.5</v>
      </c>
      <c r="AR59" s="314" t="str">
        <f>IF(AQ59&gt;9,"SuperStar",IF(AQ59&gt;8,"Star",IF(AQ59&gt;6.5,"GoodReg",IF(AQ59&gt;5,"Reg",IF(AQ59&gt;4,"Bench","Minors")))))</f>
        <v>Minors</v>
      </c>
      <c r="AS59" s="313">
        <f>AVERAGE(V59,X59,Y59)+IF(OR(V59&gt;7,AND(V59&gt;5,Y59&gt;5)),0.5,0)+IF(X59&gt;7,0.25,0)+IF(V59&lt;6,-0.5*(6-V59),0)</f>
        <v>3.5</v>
      </c>
      <c r="AT59" s="313" t="str">
        <f>IF(AS59&gt;9,"SuperStar",IF(AS59&gt;8,"Star",IF(AS59&gt;6.5,"GoodReg",IF(AS59&gt;5,"Reg",IF(AS59&gt;4,"Bench","Minors")))))</f>
        <v>Minors</v>
      </c>
      <c r="AU59" s="314">
        <f>MIN(AQ59+(MAX(0,25-J59))^1.5,AS59)</f>
        <v>3.5</v>
      </c>
      <c r="AV59" s="314" t="str">
        <f>IF(AU59&gt;9,"SuperStar",IF(AU59&gt;8,"Star",IF(AU59&gt;6.5,"GoodReg",IF(AU59&gt;5,"Reg",IF(AU59&gt;4,"Bench","Minors")))))</f>
        <v>Minors</v>
      </c>
      <c r="AW59" s="315">
        <f>IF(AND(OR(Q59+T59&gt;12,AND(Q59&gt;6,T59&gt;6)),AL59&gt;6,OR(AM59&gt;=AL59,AM59&gt;6)),1,0)</f>
        <v>0</v>
      </c>
      <c r="AX59" s="316">
        <f>IF(OR(AND(Q59&gt;6,U59&gt;6),Q59+T59&gt;12),1,0)</f>
        <v>0</v>
      </c>
      <c r="AY59" s="316">
        <f>IF(AND(Q59&gt;6,S59&gt;6,T59&gt;6),1,0)</f>
        <v>0</v>
      </c>
      <c r="AZ59" s="316">
        <f>IF(AND(S59&gt;7,OR(Q59&gt;6,T59&gt;6)),1,0)</f>
        <v>0</v>
      </c>
      <c r="BA59" s="316">
        <f>IF(AND(S59&gt;6,OR(Q59&gt;6,T59&gt;6)),1,0)</f>
        <v>0</v>
      </c>
      <c r="BB59" s="316">
        <f>IF(AND(OR(Q59&gt;6,S59&gt;6),OR(Q59&gt;6,T59&gt;6)),1,0)</f>
        <v>0</v>
      </c>
      <c r="BC59" s="316">
        <f>IF(AND(Q59&gt;4,OR(Q59&gt;6,S59&gt;6,T59&gt;6)),1,0)</f>
        <v>0</v>
      </c>
      <c r="BD59" s="316">
        <f>IF(AND(Q59&gt;4,OR(Q59&gt;6,R59&gt;6,S59&gt;6,T59&gt;6)),1,0)</f>
        <v>0</v>
      </c>
      <c r="BE59" s="311">
        <f>IF(AND(Q59&gt;4,MAX(Q59:U59)&gt;6),1,0)</f>
        <v>0</v>
      </c>
      <c r="BF59" s="315">
        <f>IF(AND(OR(V59+Y59&gt;12,AND(V59&gt;6,Y59&gt;6)),AL59&gt;6,OR(AM59&gt;=AL59,AM59&gt;6)),1,0)</f>
        <v>0</v>
      </c>
      <c r="BG59" s="316">
        <f>IF(OR(AND(V59&gt;6,Z59&gt;6),V59+Y59&gt;12),1,0)</f>
        <v>0</v>
      </c>
      <c r="BH59" s="316">
        <f>IF(AND(V59&gt;6,X59&gt;6,Y59&gt;6),1,0)</f>
        <v>0</v>
      </c>
      <c r="BI59" s="316">
        <f>IF(AND(X59&gt;7,OR(V59&gt;6,Y59&gt;6)),1,0)</f>
        <v>0</v>
      </c>
      <c r="BJ59" s="316">
        <f>IF(AND(X59&gt;6,OR(V59&gt;6,Y59&gt;6)),1,0)</f>
        <v>0</v>
      </c>
      <c r="BK59" s="316">
        <f>IF(AND(OR(V59&gt;6,X59&gt;6),OR(V59&gt;6,Y59&gt;6)),1,0)</f>
        <v>0</v>
      </c>
      <c r="BL59" s="316">
        <f>IF(AND(V59&gt;4,OR(V59&gt;6,X59&gt;6,Y59&gt;6)),1,0)</f>
        <v>0</v>
      </c>
      <c r="BM59" s="316">
        <f>IF(AND(V59&gt;4,OR(V59&gt;6,W59&gt;6,X59&gt;6,Y59&gt;6)),1,0)</f>
        <v>0</v>
      </c>
      <c r="BN59" s="311">
        <f>IF(AND(V59&gt;4,MAX(V59:Z59)&gt;6),1,0)</f>
        <v>0</v>
      </c>
      <c r="BO59" s="311">
        <f>IF(AVERAGE(AL59:AM59)&gt;9,1,0)+IF(AVERAGE(AL59:AM59)&gt;7,1,0)+IF(AL59&gt;7,1,0)+IF(AM59&gt;7,1,0)+IF(AN59&gt;8,1,0)+IF(AN59&gt;6,1,0)</f>
        <v>2</v>
      </c>
      <c r="BP59" s="317">
        <f>IF(OR(MAX(AD59,AE59,AI59,AK59)&gt;6,MAX(AF59,AG59,AH59,AJ59)&gt;7),2,IF(MAX(AD59:AK59)&gt;4,1,0))</f>
        <v>2</v>
      </c>
      <c r="BQ59" s="310" t="str">
        <f>IF(AP59=1,"Yes","")</f>
        <v/>
      </c>
      <c r="BR59" s="309" t="str">
        <f>IF($A59="ML","There",IF(AND($V59&gt;=6,AVERAGE($X59:$Y59)&gt;=6),"Likely",IF(OR($V59&gt;6,AND($V59=6,AVERAGE($X59:$Y59)&gt;=3),AND($V59&gt;=5,AVERAGE($X59:$Y59)&gt;=5),AVERAGE($V59,$X59:$Y59)&gt;5),"Possible","Unlikely")))</f>
        <v>Unlikely</v>
      </c>
      <c r="BS59" s="310" t="str">
        <f>IF(OR(AND(Q59&gt;=6,S59+T59&gt;=12),Q59&gt;7),"Start",IF(AND(Q59&gt;=5,S59+T59&gt;=8),"Bench","aack!"))</f>
        <v>aack!</v>
      </c>
      <c r="BT59" s="310" t="str">
        <f>IF(OR(AND(V59&gt;=6,X59+Y59&gt;=12),V59&gt;7),"Start",IF(AND(V59&gt;=5,X59+Y59&gt;=8),"Bench","aack!"))</f>
        <v>aack!</v>
      </c>
      <c r="BU59" s="310" t="str">
        <f>IF(Q59&gt;5,"ML",IF(Q59=5,"AAA",IF(Q59=4,"AA",IF(Q59=3,"A","SS-A"))))</f>
        <v>AAA</v>
      </c>
      <c r="BV59" s="310">
        <f>Q59-V59</f>
        <v>0</v>
      </c>
      <c r="BW59" s="310">
        <f>R59-W59</f>
        <v>0</v>
      </c>
      <c r="BX59" s="310">
        <f>S59-X59</f>
        <v>0</v>
      </c>
      <c r="BY59" s="310">
        <f>T59-Y59</f>
        <v>0</v>
      </c>
      <c r="BZ59" s="310">
        <f>U59-Z59</f>
        <v>0</v>
      </c>
      <c r="CA59" s="310">
        <f>SUM(BV59:BZ59)</f>
        <v>0</v>
      </c>
      <c r="CB59" s="310">
        <f>V59+X59+Y59</f>
        <v>12</v>
      </c>
      <c r="CC59" s="310">
        <f>V59+X59</f>
        <v>7</v>
      </c>
      <c r="CD59" s="310">
        <f>V59+Y59</f>
        <v>10</v>
      </c>
      <c r="CE59" s="310" t="str">
        <f>IF(J59&gt;24,"Now - Age",IF(Q59&gt;6,"Now",IF(V59&lt;6,"With Dev",MIN(V59-Q59,7-Q59))))</f>
        <v>Now - Age</v>
      </c>
      <c r="CF59" s="325" t="str">
        <f t="shared" si="12"/>
        <v/>
      </c>
      <c r="CG59" s="325" t="str">
        <f t="shared" si="5"/>
        <v>X</v>
      </c>
      <c r="CH59" s="325" t="str">
        <f t="shared" si="6"/>
        <v>X</v>
      </c>
      <c r="CI59" s="325" t="str">
        <f t="shared" si="7"/>
        <v/>
      </c>
      <c r="CJ59" s="325" t="str">
        <f t="shared" si="8"/>
        <v/>
      </c>
      <c r="CK59" s="325" t="str">
        <f t="shared" si="9"/>
        <v/>
      </c>
      <c r="CL59" s="325" t="str">
        <f t="shared" si="10"/>
        <v/>
      </c>
      <c r="CM59" s="325" t="str">
        <f t="shared" si="11"/>
        <v/>
      </c>
      <c r="CN59" s="325" t="str">
        <f t="shared" si="4"/>
        <v/>
      </c>
    </row>
    <row r="60" spans="1:92">
      <c r="A60" s="308" t="s">
        <v>215</v>
      </c>
      <c r="B60" s="309" t="s">
        <v>582</v>
      </c>
      <c r="C60" s="310">
        <f>IF(BH60=1,3,IF(BI60=1,4,IF(BF60=1,1,IF(BJ60=1,5,IF(BG60=1,2,IF(BK60=1,6,IF(BL60=1,7,IF(BM60=1,8,IF(BN60=1,9,"-")))))))))</f>
        <v>6</v>
      </c>
      <c r="D60" s="310" t="str">
        <f>IF(AY60=1,3,IF(AZ60=1,4,IF(AW60=1,1,IF(BA60=1,5,IF(AX60=1,2,IF(BB60=1,6,IF(BC60=1,7,IF(BD60=1,8,IF(BE60=1,9,"-")))))))))</f>
        <v>-</v>
      </c>
      <c r="E60" s="310" t="str">
        <f>IF(OR(OR(O60="Very High",O60="High"),AND(OR(O60="Very High",O60="High",O60="Normal"),OR(P60="Very High",P60="High"))),"K","T")</f>
        <v>T</v>
      </c>
      <c r="F60" s="310" t="s">
        <v>99</v>
      </c>
      <c r="G60" s="310" t="s">
        <v>501</v>
      </c>
      <c r="H60" s="310" t="s">
        <v>386</v>
      </c>
      <c r="I60" s="310" t="s">
        <v>215</v>
      </c>
      <c r="J60" s="310">
        <v>22</v>
      </c>
      <c r="K60" s="310" t="s">
        <v>107</v>
      </c>
      <c r="L60" s="310" t="s">
        <v>107</v>
      </c>
      <c r="M60" s="310" t="s">
        <v>47</v>
      </c>
      <c r="N60" s="311" t="s">
        <v>47</v>
      </c>
      <c r="O60" s="310" t="s">
        <v>230</v>
      </c>
      <c r="P60" s="311" t="s">
        <v>231</v>
      </c>
      <c r="Q60" s="310">
        <v>5</v>
      </c>
      <c r="R60" s="310">
        <v>4</v>
      </c>
      <c r="S60" s="310">
        <v>3</v>
      </c>
      <c r="T60" s="310">
        <v>4</v>
      </c>
      <c r="U60" s="311">
        <v>3</v>
      </c>
      <c r="V60" s="310">
        <v>7</v>
      </c>
      <c r="W60" s="310">
        <v>6</v>
      </c>
      <c r="X60" s="310">
        <v>3</v>
      </c>
      <c r="Y60" s="310">
        <v>4</v>
      </c>
      <c r="Z60" s="311">
        <v>6</v>
      </c>
      <c r="AA60" s="310">
        <v>9</v>
      </c>
      <c r="AB60" s="310">
        <v>8</v>
      </c>
      <c r="AC60" s="310">
        <v>1</v>
      </c>
      <c r="AD60" s="310" t="s">
        <v>41</v>
      </c>
      <c r="AE60" s="310">
        <v>6</v>
      </c>
      <c r="AF60" s="310">
        <v>5</v>
      </c>
      <c r="AG60" s="310">
        <v>8</v>
      </c>
      <c r="AH60" s="310">
        <v>4</v>
      </c>
      <c r="AI60" s="310">
        <v>6</v>
      </c>
      <c r="AJ60" s="310">
        <v>3</v>
      </c>
      <c r="AK60" s="311" t="s">
        <v>41</v>
      </c>
      <c r="AL60" s="310">
        <v>8</v>
      </c>
      <c r="AM60" s="310">
        <v>9</v>
      </c>
      <c r="AN60" s="311">
        <v>8</v>
      </c>
      <c r="AO60" s="312" t="s">
        <v>41</v>
      </c>
      <c r="AP60" s="311">
        <v>0</v>
      </c>
      <c r="AQ60" s="313">
        <f>AVERAGE(Q60,S60,T60)+IF(OR(Q60&gt;7,AND(Q60&gt;5,T60&gt;5)),0.5,0)+IF(S60&gt;7,0.25,0)+IF(Q60&lt;6,-0.5*(6-Q60),0)</f>
        <v>3.5</v>
      </c>
      <c r="AR60" s="314" t="str">
        <f>IF(AQ60&gt;9,"SuperStar",IF(AQ60&gt;8,"Star",IF(AQ60&gt;6.5,"GoodReg",IF(AQ60&gt;5,"Reg",IF(AQ60&gt;4,"Bench","Minors")))))</f>
        <v>Minors</v>
      </c>
      <c r="AS60" s="313">
        <f>AVERAGE(V60,X60,Y60)+IF(OR(V60&gt;7,AND(V60&gt;5,Y60&gt;5)),0.5,0)+IF(X60&gt;7,0.25,0)+IF(V60&lt;6,-0.5*(6-V60),0)</f>
        <v>4.666666666666667</v>
      </c>
      <c r="AT60" s="313" t="str">
        <f>IF(AS60&gt;9,"SuperStar",IF(AS60&gt;8,"Star",IF(AS60&gt;6.5,"GoodReg",IF(AS60&gt;5,"Reg",IF(AS60&gt;4,"Bench","Minors")))))</f>
        <v>Bench</v>
      </c>
      <c r="AU60" s="314">
        <f>MIN(AQ60+(MAX(0,25-J60))^1.5,AS60)</f>
        <v>4.666666666666667</v>
      </c>
      <c r="AV60" s="314" t="str">
        <f>IF(AU60&gt;9,"SuperStar",IF(AU60&gt;8,"Star",IF(AU60&gt;6.5,"GoodReg",IF(AU60&gt;5,"Reg",IF(AU60&gt;4,"Bench","Minors")))))</f>
        <v>Bench</v>
      </c>
      <c r="AW60" s="315">
        <f>IF(AND(OR(Q60+T60&gt;12,AND(Q60&gt;6,T60&gt;6)),AL60&gt;6,OR(AM60&gt;=AL60,AM60&gt;6)),1,0)</f>
        <v>0</v>
      </c>
      <c r="AX60" s="316">
        <f>IF(OR(AND(Q60&gt;6,U60&gt;6),Q60+T60&gt;12),1,0)</f>
        <v>0</v>
      </c>
      <c r="AY60" s="316">
        <f>IF(AND(Q60&gt;6,S60&gt;6,T60&gt;6),1,0)</f>
        <v>0</v>
      </c>
      <c r="AZ60" s="316">
        <f>IF(AND(S60&gt;7,OR(Q60&gt;6,T60&gt;6)),1,0)</f>
        <v>0</v>
      </c>
      <c r="BA60" s="316">
        <f>IF(AND(S60&gt;6,OR(Q60&gt;6,T60&gt;6)),1,0)</f>
        <v>0</v>
      </c>
      <c r="BB60" s="316">
        <f>IF(AND(OR(Q60&gt;6,S60&gt;6),OR(Q60&gt;6,T60&gt;6)),1,0)</f>
        <v>0</v>
      </c>
      <c r="BC60" s="316">
        <f>IF(AND(Q60&gt;4,OR(Q60&gt;6,S60&gt;6,T60&gt;6)),1,0)</f>
        <v>0</v>
      </c>
      <c r="BD60" s="316">
        <f>IF(AND(Q60&gt;4,OR(Q60&gt;6,R60&gt;6,S60&gt;6,T60&gt;6)),1,0)</f>
        <v>0</v>
      </c>
      <c r="BE60" s="311">
        <f>IF(AND(Q60&gt;4,MAX(Q60:U60)&gt;6),1,0)</f>
        <v>0</v>
      </c>
      <c r="BF60" s="315">
        <f>IF(AND(OR(V60+Y60&gt;12,AND(V60&gt;6,Y60&gt;6)),AL60&gt;6,OR(AM60&gt;=AL60,AM60&gt;6)),1,0)</f>
        <v>0</v>
      </c>
      <c r="BG60" s="316">
        <f>IF(OR(AND(V60&gt;6,Z60&gt;6),V60+Y60&gt;12),1,0)</f>
        <v>0</v>
      </c>
      <c r="BH60" s="316">
        <f>IF(AND(V60&gt;6,X60&gt;6,Y60&gt;6),1,0)</f>
        <v>0</v>
      </c>
      <c r="BI60" s="316">
        <f>IF(AND(X60&gt;7,OR(V60&gt;6,Y60&gt;6)),1,0)</f>
        <v>0</v>
      </c>
      <c r="BJ60" s="316">
        <f>IF(AND(X60&gt;6,OR(V60&gt;6,Y60&gt;6)),1,0)</f>
        <v>0</v>
      </c>
      <c r="BK60" s="316">
        <f>IF(AND(OR(V60&gt;6,X60&gt;6),OR(V60&gt;6,Y60&gt;6)),1,0)</f>
        <v>1</v>
      </c>
      <c r="BL60" s="316">
        <f>IF(AND(V60&gt;4,OR(V60&gt;6,X60&gt;6,Y60&gt;6)),1,0)</f>
        <v>1</v>
      </c>
      <c r="BM60" s="316">
        <f>IF(AND(V60&gt;4,OR(V60&gt;6,W60&gt;6,X60&gt;6,Y60&gt;6)),1,0)</f>
        <v>1</v>
      </c>
      <c r="BN60" s="311">
        <f>IF(AND(V60&gt;4,MAX(V60:Z60)&gt;6),1,0)</f>
        <v>1</v>
      </c>
      <c r="BO60" s="311">
        <f>IF(AVERAGE(AL60:AM60)&gt;9,1,0)+IF(AVERAGE(AL60:AM60)&gt;7,1,0)+IF(AL60&gt;7,1,0)+IF(AM60&gt;7,1,0)+IF(AN60&gt;8,1,0)+IF(AN60&gt;6,1,0)</f>
        <v>4</v>
      </c>
      <c r="BP60" s="317">
        <f>IF(OR(MAX(AD60,AE60,AI60,AK60)&gt;6,MAX(AF60,AG60,AH60,AJ60)&gt;7),2,IF(MAX(AD60:AK60)&gt;4,1,0))</f>
        <v>2</v>
      </c>
      <c r="BQ60" s="310" t="str">
        <f>IF(AP60=1,"Yes","")</f>
        <v/>
      </c>
      <c r="BR60" s="309" t="str">
        <f>IF($A60="ML","There",IF(AND($V60&gt;=6,AVERAGE($X60:$Y60)&gt;=6),"Likely",IF(OR($V60&gt;6,AND($V60=6,AVERAGE($X60:$Y60)&gt;=3),AND($V60&gt;=5,AVERAGE($X60:$Y60)&gt;=5),AVERAGE($V60,$X60:$Y60)&gt;5),"Possible","Unlikely")))</f>
        <v>Possible</v>
      </c>
      <c r="BS60" s="310" t="str">
        <f>IF(OR(AND(Q60&gt;=6,S60+T60&gt;=12),Q60&gt;7),"Start",IF(AND(Q60&gt;=5,S60+T60&gt;=8),"Bench","aack!"))</f>
        <v>aack!</v>
      </c>
      <c r="BT60" s="310" t="str">
        <f>IF(OR(AND(V60&gt;=6,X60+Y60&gt;=12),V60&gt;7),"Start",IF(AND(V60&gt;=5,X60+Y60&gt;=8),"Bench","aack!"))</f>
        <v>aack!</v>
      </c>
      <c r="BU60" s="310" t="str">
        <f>IF(Q60&gt;5,"ML",IF(Q60=5,"AAA",IF(Q60=4,"AA",IF(Q60=3,"A","SS-A"))))</f>
        <v>AAA</v>
      </c>
      <c r="BV60" s="310">
        <f>Q60-V60</f>
        <v>-2</v>
      </c>
      <c r="BW60" s="310">
        <f>R60-W60</f>
        <v>-2</v>
      </c>
      <c r="BX60" s="310">
        <f>S60-X60</f>
        <v>0</v>
      </c>
      <c r="BY60" s="310">
        <f>T60-Y60</f>
        <v>0</v>
      </c>
      <c r="BZ60" s="310">
        <f>U60-Z60</f>
        <v>-3</v>
      </c>
      <c r="CA60" s="310">
        <f>SUM(BV60:BZ60)</f>
        <v>-7</v>
      </c>
      <c r="CB60" s="310">
        <f>V60+X60+Y60</f>
        <v>14</v>
      </c>
      <c r="CC60" s="310">
        <f>V60+X60</f>
        <v>10</v>
      </c>
      <c r="CD60" s="310">
        <f>V60+Y60</f>
        <v>11</v>
      </c>
      <c r="CE60" s="310">
        <f>IF(J60&gt;24,"Now - Age",IF(Q60&gt;6,"Now",IF(V60&lt;6,"With Dev",MIN(V60-Q60,7-Q60))))</f>
        <v>2</v>
      </c>
      <c r="CF60" s="325" t="str">
        <f t="shared" si="12"/>
        <v/>
      </c>
      <c r="CG60" s="325" t="str">
        <f t="shared" si="5"/>
        <v>X</v>
      </c>
      <c r="CH60" s="325" t="str">
        <f t="shared" si="6"/>
        <v/>
      </c>
      <c r="CI60" s="325" t="str">
        <f t="shared" si="7"/>
        <v>X</v>
      </c>
      <c r="CJ60" s="325" t="str">
        <f t="shared" si="8"/>
        <v/>
      </c>
      <c r="CK60" s="325" t="str">
        <f t="shared" si="9"/>
        <v>X</v>
      </c>
      <c r="CL60" s="325" t="str">
        <f t="shared" si="10"/>
        <v/>
      </c>
      <c r="CM60" s="325" t="str">
        <f t="shared" si="11"/>
        <v/>
      </c>
      <c r="CN60" s="325" t="str">
        <f t="shared" si="4"/>
        <v/>
      </c>
    </row>
    <row r="61" spans="1:92">
      <c r="A61" s="308" t="s">
        <v>215</v>
      </c>
      <c r="B61" s="309" t="s">
        <v>101</v>
      </c>
      <c r="C61" s="310">
        <f>IF(BH61=1,3,IF(BI61=1,4,IF(BF61=1,1,IF(BJ61=1,5,IF(BG61=1,2,IF(BK61=1,6,IF(BL61=1,7,IF(BM61=1,8,IF(BN61=1,9,"-")))))))))</f>
        <v>7</v>
      </c>
      <c r="D61" s="310" t="str">
        <f>IF(AY61=1,3,IF(AZ61=1,4,IF(AW61=1,1,IF(BA61=1,5,IF(AX61=1,2,IF(BB61=1,6,IF(BC61=1,7,IF(BD61=1,8,IF(BE61=1,9,"-")))))))))</f>
        <v>-</v>
      </c>
      <c r="E61" s="310" t="str">
        <f>IF(OR(OR(O61="Very High",O61="High"),AND(OR(O61="Very High",O61="High",O61="Normal"),OR(P61="Very High",P61="High"))),"K","T")</f>
        <v>K</v>
      </c>
      <c r="F61" s="310" t="s">
        <v>101</v>
      </c>
      <c r="G61" s="310" t="s">
        <v>499</v>
      </c>
      <c r="H61" s="310" t="s">
        <v>386</v>
      </c>
      <c r="I61" s="310" t="s">
        <v>215</v>
      </c>
      <c r="J61" s="310">
        <v>22</v>
      </c>
      <c r="K61" s="310" t="s">
        <v>107</v>
      </c>
      <c r="L61" s="310" t="s">
        <v>107</v>
      </c>
      <c r="M61" s="310" t="s">
        <v>47</v>
      </c>
      <c r="N61" s="311" t="s">
        <v>42</v>
      </c>
      <c r="O61" s="310" t="s">
        <v>230</v>
      </c>
      <c r="P61" s="311" t="s">
        <v>228</v>
      </c>
      <c r="Q61" s="310">
        <v>4</v>
      </c>
      <c r="R61" s="310">
        <v>3</v>
      </c>
      <c r="S61" s="310">
        <v>4</v>
      </c>
      <c r="T61" s="310">
        <v>5</v>
      </c>
      <c r="U61" s="311">
        <v>2</v>
      </c>
      <c r="V61" s="310">
        <v>6</v>
      </c>
      <c r="W61" s="310">
        <v>5</v>
      </c>
      <c r="X61" s="310">
        <v>8</v>
      </c>
      <c r="Y61" s="310">
        <v>6</v>
      </c>
      <c r="Z61" s="311">
        <v>4</v>
      </c>
      <c r="AA61" s="310">
        <v>1</v>
      </c>
      <c r="AB61" s="310">
        <v>5</v>
      </c>
      <c r="AC61" s="310">
        <v>1</v>
      </c>
      <c r="AD61" s="310" t="s">
        <v>41</v>
      </c>
      <c r="AE61" s="310" t="s">
        <v>41</v>
      </c>
      <c r="AF61" s="310" t="s">
        <v>41</v>
      </c>
      <c r="AG61" s="310" t="s">
        <v>41</v>
      </c>
      <c r="AH61" s="310" t="s">
        <v>41</v>
      </c>
      <c r="AI61" s="310">
        <v>8</v>
      </c>
      <c r="AJ61" s="310" t="s">
        <v>41</v>
      </c>
      <c r="AK61" s="311">
        <v>3</v>
      </c>
      <c r="AL61" s="310">
        <v>5</v>
      </c>
      <c r="AM61" s="310">
        <v>8</v>
      </c>
      <c r="AN61" s="311">
        <v>10</v>
      </c>
      <c r="AO61" s="312" t="s">
        <v>41</v>
      </c>
      <c r="AP61" s="311">
        <v>0</v>
      </c>
      <c r="AQ61" s="313">
        <f>AVERAGE(Q61,S61,T61)+IF(OR(Q61&gt;7,AND(Q61&gt;5,T61&gt;5)),0.5,0)+IF(S61&gt;7,0.25,0)+IF(Q61&lt;6,-0.5*(6-Q61),0)</f>
        <v>3.333333333333333</v>
      </c>
      <c r="AR61" s="314" t="str">
        <f>IF(AQ61&gt;9,"SuperStar",IF(AQ61&gt;8,"Star",IF(AQ61&gt;6.5,"GoodReg",IF(AQ61&gt;5,"Reg",IF(AQ61&gt;4,"Bench","Minors")))))</f>
        <v>Minors</v>
      </c>
      <c r="AS61" s="313">
        <f>AVERAGE(V61,X61,Y61)+IF(OR(V61&gt;7,AND(V61&gt;5,Y61&gt;5)),0.5,0)+IF(X61&gt;7,0.25,0)+IF(V61&lt;6,-0.5*(6-V61),0)</f>
        <v>7.416666666666667</v>
      </c>
      <c r="AT61" s="313" t="str">
        <f>IF(AS61&gt;9,"SuperStar",IF(AS61&gt;8,"Star",IF(AS61&gt;6.5,"GoodReg",IF(AS61&gt;5,"Reg",IF(AS61&gt;4,"Bench","Minors")))))</f>
        <v>GoodReg</v>
      </c>
      <c r="AU61" s="314">
        <f>MIN(AQ61+(MAX(0,25-J61))^1.5,AS61)</f>
        <v>7.416666666666667</v>
      </c>
      <c r="AV61" s="314" t="str">
        <f>IF(AU61&gt;9,"SuperStar",IF(AU61&gt;8,"Star",IF(AU61&gt;6.5,"GoodReg",IF(AU61&gt;5,"Reg",IF(AU61&gt;4,"Bench","Minors")))))</f>
        <v>GoodReg</v>
      </c>
      <c r="AW61" s="315">
        <f>IF(AND(OR(Q61+T61&gt;12,AND(Q61&gt;6,T61&gt;6)),AL61&gt;6,OR(AM61&gt;=AL61,AM61&gt;6)),1,0)</f>
        <v>0</v>
      </c>
      <c r="AX61" s="316">
        <f>IF(OR(AND(Q61&gt;6,U61&gt;6),Q61+T61&gt;12),1,0)</f>
        <v>0</v>
      </c>
      <c r="AY61" s="316">
        <f>IF(AND(Q61&gt;6,S61&gt;6,T61&gt;6),1,0)</f>
        <v>0</v>
      </c>
      <c r="AZ61" s="316">
        <f>IF(AND(S61&gt;7,OR(Q61&gt;6,T61&gt;6)),1,0)</f>
        <v>0</v>
      </c>
      <c r="BA61" s="316">
        <f>IF(AND(S61&gt;6,OR(Q61&gt;6,T61&gt;6)),1,0)</f>
        <v>0</v>
      </c>
      <c r="BB61" s="316">
        <f>IF(AND(OR(Q61&gt;6,S61&gt;6),OR(Q61&gt;6,T61&gt;6)),1,0)</f>
        <v>0</v>
      </c>
      <c r="BC61" s="316">
        <f>IF(AND(Q61&gt;4,OR(Q61&gt;6,S61&gt;6,T61&gt;6)),1,0)</f>
        <v>0</v>
      </c>
      <c r="BD61" s="316">
        <f>IF(AND(Q61&gt;4,OR(Q61&gt;6,R61&gt;6,S61&gt;6,T61&gt;6)),1,0)</f>
        <v>0</v>
      </c>
      <c r="BE61" s="311">
        <f>IF(AND(Q61&gt;4,MAX(Q61:U61)&gt;6),1,0)</f>
        <v>0</v>
      </c>
      <c r="BF61" s="315">
        <f>IF(AND(OR(V61+Y61&gt;12,AND(V61&gt;6,Y61&gt;6)),AL61&gt;6,OR(AM61&gt;=AL61,AM61&gt;6)),1,0)</f>
        <v>0</v>
      </c>
      <c r="BG61" s="316">
        <f>IF(OR(AND(V61&gt;6,Z61&gt;6),V61+Y61&gt;12),1,0)</f>
        <v>0</v>
      </c>
      <c r="BH61" s="316">
        <f>IF(AND(V61&gt;6,X61&gt;6,Y61&gt;6),1,0)</f>
        <v>0</v>
      </c>
      <c r="BI61" s="316">
        <f>IF(AND(X61&gt;7,OR(V61&gt;6,Y61&gt;6)),1,0)</f>
        <v>0</v>
      </c>
      <c r="BJ61" s="316">
        <f>IF(AND(X61&gt;6,OR(V61&gt;6,Y61&gt;6)),1,0)</f>
        <v>0</v>
      </c>
      <c r="BK61" s="316">
        <f>IF(AND(OR(V61&gt;6,X61&gt;6),OR(V61&gt;6,Y61&gt;6)),1,0)</f>
        <v>0</v>
      </c>
      <c r="BL61" s="316">
        <f>IF(AND(V61&gt;4,OR(V61&gt;6,X61&gt;6,Y61&gt;6)),1,0)</f>
        <v>1</v>
      </c>
      <c r="BM61" s="316">
        <f>IF(AND(V61&gt;4,OR(V61&gt;6,W61&gt;6,X61&gt;6,Y61&gt;6)),1,0)</f>
        <v>1</v>
      </c>
      <c r="BN61" s="311">
        <f>IF(AND(V61&gt;4,MAX(V61:Z61)&gt;6),1,0)</f>
        <v>1</v>
      </c>
      <c r="BO61" s="311">
        <f>IF(AVERAGE(AL61:AM61)&gt;9,1,0)+IF(AVERAGE(AL61:AM61)&gt;7,1,0)+IF(AL61&gt;7,1,0)+IF(AM61&gt;7,1,0)+IF(AN61&gt;8,1,0)+IF(AN61&gt;6,1,0)</f>
        <v>3</v>
      </c>
      <c r="BP61" s="317">
        <f>IF(OR(MAX(AD61,AE61,AI61,AK61)&gt;6,MAX(AF61,AG61,AH61,AJ61)&gt;7),2,IF(MAX(AD61:AK61)&gt;4,1,0))</f>
        <v>2</v>
      </c>
      <c r="BQ61" s="310" t="str">
        <f>IF(AP61=1,"Yes","")</f>
        <v/>
      </c>
      <c r="BR61" s="309" t="str">
        <f>IF($A61="ML","There",IF(AND($V61&gt;=6,AVERAGE($X61:$Y61)&gt;=6),"Likely",IF(OR($V61&gt;6,AND($V61=6,AVERAGE($X61:$Y61)&gt;=3),AND($V61&gt;=5,AVERAGE($X61:$Y61)&gt;=5),AVERAGE($V61,$X61:$Y61)&gt;5),"Possible","Unlikely")))</f>
        <v>Likely</v>
      </c>
      <c r="BS61" s="310" t="str">
        <f>IF(OR(AND(Q61&gt;=6,S61+T61&gt;=12),Q61&gt;7),"Start",IF(AND(Q61&gt;=5,S61+T61&gt;=8),"Bench","aack!"))</f>
        <v>aack!</v>
      </c>
      <c r="BT61" s="310" t="str">
        <f>IF(OR(AND(V61&gt;=6,X61+Y61&gt;=12),V61&gt;7),"Start",IF(AND(V61&gt;=5,X61+Y61&gt;=8),"Bench","aack!"))</f>
        <v>Start</v>
      </c>
      <c r="BU61" s="310" t="str">
        <f>IF(Q61&gt;5,"ML",IF(Q61=5,"AAA",IF(Q61=4,"AA",IF(Q61=3,"A","SS-A"))))</f>
        <v>AA</v>
      </c>
      <c r="BV61" s="310">
        <f>Q61-V61</f>
        <v>-2</v>
      </c>
      <c r="BW61" s="310">
        <f>R61-W61</f>
        <v>-2</v>
      </c>
      <c r="BX61" s="310">
        <f>S61-X61</f>
        <v>-4</v>
      </c>
      <c r="BY61" s="310">
        <f>T61-Y61</f>
        <v>-1</v>
      </c>
      <c r="BZ61" s="310">
        <f>U61-Z61</f>
        <v>-2</v>
      </c>
      <c r="CA61" s="310">
        <f>SUM(BV61:BZ61)</f>
        <v>-11</v>
      </c>
      <c r="CB61" s="310">
        <f>V61+X61+Y61</f>
        <v>20</v>
      </c>
      <c r="CC61" s="310">
        <f>V61+X61</f>
        <v>14</v>
      </c>
      <c r="CD61" s="310">
        <f>V61+Y61</f>
        <v>12</v>
      </c>
      <c r="CE61" s="310">
        <f>IF(J61&gt;24,"Now - Age",IF(Q61&gt;6,"Now",IF(V61&lt;6,"With Dev",MIN(V61-Q61,7-Q61))))</f>
        <v>2</v>
      </c>
      <c r="CF61" s="325" t="str">
        <f t="shared" si="12"/>
        <v/>
      </c>
      <c r="CG61" s="325" t="str">
        <f t="shared" si="5"/>
        <v/>
      </c>
      <c r="CH61" s="325" t="str">
        <f t="shared" si="6"/>
        <v/>
      </c>
      <c r="CI61" s="325" t="str">
        <f t="shared" si="7"/>
        <v/>
      </c>
      <c r="CJ61" s="325" t="str">
        <f t="shared" si="8"/>
        <v/>
      </c>
      <c r="CK61" s="325" t="str">
        <f t="shared" si="9"/>
        <v>X</v>
      </c>
      <c r="CL61" s="325" t="str">
        <f t="shared" si="10"/>
        <v/>
      </c>
      <c r="CM61" s="325" t="str">
        <f t="shared" si="11"/>
        <v/>
      </c>
      <c r="CN61" s="325" t="str">
        <f t="shared" si="4"/>
        <v/>
      </c>
    </row>
    <row r="62" spans="1:92">
      <c r="A62" s="308" t="s">
        <v>215</v>
      </c>
      <c r="B62" s="309" t="s">
        <v>95</v>
      </c>
      <c r="C62" s="310">
        <f>IF(BH62=1,3,IF(BI62=1,4,IF(BF62=1,1,IF(BJ62=1,5,IF(BG62=1,2,IF(BK62=1,6,IF(BL62=1,7,IF(BM62=1,8,IF(BN62=1,9,"-")))))))))</f>
        <v>8</v>
      </c>
      <c r="D62" s="310">
        <f>IF(AY62=1,3,IF(AZ62=1,4,IF(AW62=1,1,IF(BA62=1,5,IF(AX62=1,2,IF(BB62=1,6,IF(BC62=1,7,IF(BD62=1,8,IF(BE62=1,9,"-")))))))))</f>
        <v>8</v>
      </c>
      <c r="E62" s="310" t="str">
        <f>IF(OR(OR(O62="Very High",O62="High"),AND(OR(O62="Very High",O62="High",O62="Normal"),OR(P62="Very High",P62="High"))),"K","T")</f>
        <v>K</v>
      </c>
      <c r="F62" s="310" t="s">
        <v>95</v>
      </c>
      <c r="G62" s="310" t="s">
        <v>461</v>
      </c>
      <c r="H62" s="310" t="s">
        <v>383</v>
      </c>
      <c r="I62" s="310" t="s">
        <v>327</v>
      </c>
      <c r="J62" s="310">
        <v>25</v>
      </c>
      <c r="K62" s="310" t="s">
        <v>107</v>
      </c>
      <c r="L62" s="310" t="s">
        <v>107</v>
      </c>
      <c r="M62" s="310" t="s">
        <v>47</v>
      </c>
      <c r="N62" s="311" t="s">
        <v>47</v>
      </c>
      <c r="O62" s="310" t="s">
        <v>230</v>
      </c>
      <c r="P62" s="311" t="s">
        <v>228</v>
      </c>
      <c r="Q62" s="310">
        <v>5</v>
      </c>
      <c r="R62" s="310">
        <v>9</v>
      </c>
      <c r="S62" s="310">
        <v>3</v>
      </c>
      <c r="T62" s="310">
        <v>3</v>
      </c>
      <c r="U62" s="311">
        <v>4</v>
      </c>
      <c r="V62" s="310">
        <v>5</v>
      </c>
      <c r="W62" s="310">
        <v>9</v>
      </c>
      <c r="X62" s="310">
        <v>3</v>
      </c>
      <c r="Y62" s="310">
        <v>3</v>
      </c>
      <c r="Z62" s="311">
        <v>4</v>
      </c>
      <c r="AA62" s="310">
        <v>6</v>
      </c>
      <c r="AB62" s="310">
        <v>7</v>
      </c>
      <c r="AC62" s="310">
        <v>8</v>
      </c>
      <c r="AD62" s="310">
        <v>9</v>
      </c>
      <c r="AE62" s="310" t="s">
        <v>41</v>
      </c>
      <c r="AF62" s="310" t="s">
        <v>41</v>
      </c>
      <c r="AG62" s="310" t="s">
        <v>41</v>
      </c>
      <c r="AH62" s="310" t="s">
        <v>41</v>
      </c>
      <c r="AI62" s="310" t="s">
        <v>41</v>
      </c>
      <c r="AJ62" s="310" t="s">
        <v>41</v>
      </c>
      <c r="AK62" s="311" t="s">
        <v>41</v>
      </c>
      <c r="AL62" s="310">
        <v>2</v>
      </c>
      <c r="AM62" s="310">
        <v>2</v>
      </c>
      <c r="AN62" s="311">
        <v>1</v>
      </c>
      <c r="AO62" s="312" t="s">
        <v>41</v>
      </c>
      <c r="AP62" s="311" t="s">
        <v>45</v>
      </c>
      <c r="AQ62" s="313">
        <f>AVERAGE(Q62,S62,T62)+IF(OR(Q62&gt;7,AND(Q62&gt;5,T62&gt;5)),0.5,0)+IF(S62&gt;7,0.25,0)+IF(Q62&lt;6,-0.5*(6-Q62),0)</f>
        <v>3.1666666666666665</v>
      </c>
      <c r="AR62" s="314" t="str">
        <f>IF(AQ62&gt;9,"SuperStar",IF(AQ62&gt;8,"Star",IF(AQ62&gt;6.5,"GoodReg",IF(AQ62&gt;5,"Reg",IF(AQ62&gt;4,"Bench","Minors")))))</f>
        <v>Minors</v>
      </c>
      <c r="AS62" s="313">
        <f>AVERAGE(V62,X62,Y62)+IF(OR(V62&gt;7,AND(V62&gt;5,Y62&gt;5)),0.5,0)+IF(X62&gt;7,0.25,0)+IF(V62&lt;6,-0.5*(6-V62),0)</f>
        <v>3.1666666666666665</v>
      </c>
      <c r="AT62" s="313" t="str">
        <f>IF(AS62&gt;9,"SuperStar",IF(AS62&gt;8,"Star",IF(AS62&gt;6.5,"GoodReg",IF(AS62&gt;5,"Reg",IF(AS62&gt;4,"Bench","Minors")))))</f>
        <v>Minors</v>
      </c>
      <c r="AU62" s="314">
        <f>MIN(AQ62+(MAX(0,25-J62))^1.5,AS62)</f>
        <v>3.1666666666666665</v>
      </c>
      <c r="AV62" s="314" t="str">
        <f>IF(AU62&gt;9,"SuperStar",IF(AU62&gt;8,"Star",IF(AU62&gt;6.5,"GoodReg",IF(AU62&gt;5,"Reg",IF(AU62&gt;4,"Bench","Minors")))))</f>
        <v>Minors</v>
      </c>
      <c r="AW62" s="315">
        <f>IF(AND(OR(Q62+T62&gt;12,AND(Q62&gt;6,T62&gt;6)),AL62&gt;6,OR(AM62&gt;=AL62,AM62&gt;6)),1,0)</f>
        <v>0</v>
      </c>
      <c r="AX62" s="316">
        <f>IF(OR(AND(Q62&gt;6,U62&gt;6),Q62+T62&gt;12),1,0)</f>
        <v>0</v>
      </c>
      <c r="AY62" s="316">
        <f>IF(AND(Q62&gt;6,S62&gt;6,T62&gt;6),1,0)</f>
        <v>0</v>
      </c>
      <c r="AZ62" s="316">
        <f>IF(AND(S62&gt;7,OR(Q62&gt;6,T62&gt;6)),1,0)</f>
        <v>0</v>
      </c>
      <c r="BA62" s="316">
        <f>IF(AND(S62&gt;6,OR(Q62&gt;6,T62&gt;6)),1,0)</f>
        <v>0</v>
      </c>
      <c r="BB62" s="316">
        <f>IF(AND(OR(Q62&gt;6,S62&gt;6),OR(Q62&gt;6,T62&gt;6)),1,0)</f>
        <v>0</v>
      </c>
      <c r="BC62" s="316">
        <f>IF(AND(Q62&gt;4,OR(Q62&gt;6,S62&gt;6,T62&gt;6)),1,0)</f>
        <v>0</v>
      </c>
      <c r="BD62" s="316">
        <f>IF(AND(Q62&gt;4,OR(Q62&gt;6,R62&gt;6,S62&gt;6,T62&gt;6)),1,0)</f>
        <v>1</v>
      </c>
      <c r="BE62" s="311">
        <f>IF(AND(Q62&gt;4,MAX(Q62:U62)&gt;6),1,0)</f>
        <v>1</v>
      </c>
      <c r="BF62" s="315">
        <f>IF(AND(OR(V62+Y62&gt;12,AND(V62&gt;6,Y62&gt;6)),AL62&gt;6,OR(AM62&gt;=AL62,AM62&gt;6)),1,0)</f>
        <v>0</v>
      </c>
      <c r="BG62" s="316">
        <f>IF(OR(AND(V62&gt;6,Z62&gt;6),V62+Y62&gt;12),1,0)</f>
        <v>0</v>
      </c>
      <c r="BH62" s="316">
        <f>IF(AND(V62&gt;6,X62&gt;6,Y62&gt;6),1,0)</f>
        <v>0</v>
      </c>
      <c r="BI62" s="316">
        <f>IF(AND(X62&gt;7,OR(V62&gt;6,Y62&gt;6)),1,0)</f>
        <v>0</v>
      </c>
      <c r="BJ62" s="316">
        <f>IF(AND(X62&gt;6,OR(V62&gt;6,Y62&gt;6)),1,0)</f>
        <v>0</v>
      </c>
      <c r="BK62" s="316">
        <f>IF(AND(OR(V62&gt;6,X62&gt;6),OR(V62&gt;6,Y62&gt;6)),1,0)</f>
        <v>0</v>
      </c>
      <c r="BL62" s="316">
        <f>IF(AND(V62&gt;4,OR(V62&gt;6,X62&gt;6,Y62&gt;6)),1,0)</f>
        <v>0</v>
      </c>
      <c r="BM62" s="316">
        <f>IF(AND(V62&gt;4,OR(V62&gt;6,W62&gt;6,X62&gt;6,Y62&gt;6)),1,0)</f>
        <v>1</v>
      </c>
      <c r="BN62" s="311">
        <f>IF(AND(V62&gt;4,MAX(V62:Z62)&gt;6),1,0)</f>
        <v>1</v>
      </c>
      <c r="BO62" s="311">
        <f>IF(AVERAGE(AL62:AM62)&gt;9,1,0)+IF(AVERAGE(AL62:AM62)&gt;7,1,0)+IF(AL62&gt;7,1,0)+IF(AM62&gt;7,1,0)+IF(AN62&gt;8,1,0)+IF(AN62&gt;6,1,0)</f>
        <v>0</v>
      </c>
      <c r="BP62" s="317">
        <f>IF(OR(MAX(AD62,AE62,AI62,AK62)&gt;6,MAX(AF62,AG62,AH62,AJ62)&gt;7),2,IF(MAX(AD62:AK62)&gt;4,1,0))</f>
        <v>2</v>
      </c>
      <c r="BQ62" s="310" t="str">
        <f>IF(AP62=1,"Yes","")</f>
        <v/>
      </c>
      <c r="BR62" s="309" t="str">
        <f>IF($A62="ML","There",IF(AND($V62&gt;=6,AVERAGE($X62:$Y62)&gt;=6),"Likely",IF(OR($V62&gt;6,AND($V62=6,AVERAGE($X62:$Y62)&gt;=3),AND($V62&gt;=5,AVERAGE($X62:$Y62)&gt;=5),AVERAGE($V62,$X62:$Y62)&gt;5),"Possible","Unlikely")))</f>
        <v>Unlikely</v>
      </c>
      <c r="BS62" s="310" t="str">
        <f>IF(OR(AND(Q62&gt;=6,S62+T62&gt;=12),Q62&gt;7),"Start",IF(AND(Q62&gt;=5,S62+T62&gt;=8),"Bench","aack!"))</f>
        <v>aack!</v>
      </c>
      <c r="BT62" s="310" t="str">
        <f>IF(OR(AND(V62&gt;=6,X62+Y62&gt;=12),V62&gt;7),"Start",IF(AND(V62&gt;=5,X62+Y62&gt;=8),"Bench","aack!"))</f>
        <v>aack!</v>
      </c>
      <c r="BU62" s="310" t="str">
        <f>IF(Q62&gt;5,"ML",IF(Q62=5,"AAA",IF(Q62=4,"AA",IF(Q62=3,"A","SS-A"))))</f>
        <v>AAA</v>
      </c>
      <c r="BV62" s="310">
        <f>Q62-V62</f>
        <v>0</v>
      </c>
      <c r="BW62" s="310">
        <f>R62-W62</f>
        <v>0</v>
      </c>
      <c r="BX62" s="310">
        <f>S62-X62</f>
        <v>0</v>
      </c>
      <c r="BY62" s="310">
        <f>T62-Y62</f>
        <v>0</v>
      </c>
      <c r="BZ62" s="310">
        <f>U62-Z62</f>
        <v>0</v>
      </c>
      <c r="CA62" s="310">
        <f>SUM(BV62:BZ62)</f>
        <v>0</v>
      </c>
      <c r="CB62" s="310">
        <f>V62+X62+Y62</f>
        <v>11</v>
      </c>
      <c r="CC62" s="310">
        <f>V62+X62</f>
        <v>8</v>
      </c>
      <c r="CD62" s="310">
        <f>V62+Y62</f>
        <v>8</v>
      </c>
      <c r="CE62" s="310" t="str">
        <f>IF(J62&gt;24,"Now - Age",IF(Q62&gt;6,"Now",IF(V62&lt;6,"With Dev",MIN(V62-Q62,7-Q62))))</f>
        <v>Now - Age</v>
      </c>
      <c r="CF62" s="325" t="str">
        <f t="shared" si="12"/>
        <v>X</v>
      </c>
      <c r="CG62" s="325" t="str">
        <f t="shared" si="5"/>
        <v/>
      </c>
      <c r="CH62" s="325" t="str">
        <f t="shared" si="6"/>
        <v/>
      </c>
      <c r="CI62" s="325" t="str">
        <f t="shared" si="7"/>
        <v/>
      </c>
      <c r="CJ62" s="325" t="str">
        <f t="shared" si="8"/>
        <v/>
      </c>
      <c r="CK62" s="325" t="str">
        <f t="shared" si="9"/>
        <v/>
      </c>
      <c r="CL62" s="325" t="str">
        <f t="shared" si="10"/>
        <v/>
      </c>
      <c r="CM62" s="325" t="str">
        <f t="shared" si="11"/>
        <v/>
      </c>
      <c r="CN62" s="325" t="str">
        <f t="shared" si="4"/>
        <v/>
      </c>
    </row>
    <row r="63" spans="1:92">
      <c r="A63" s="308" t="s">
        <v>215</v>
      </c>
      <c r="B63" s="309" t="s">
        <v>98</v>
      </c>
      <c r="C63" s="310" t="str">
        <f>IF(BH63=1,3,IF(BI63=1,4,IF(BF63=1,1,IF(BJ63=1,5,IF(BG63=1,2,IF(BK63=1,6,IF(BL63=1,7,IF(BM63=1,8,IF(BN63=1,9,"-")))))))))</f>
        <v>-</v>
      </c>
      <c r="D63" s="310" t="str">
        <f>IF(AY63=1,3,IF(AZ63=1,4,IF(AW63=1,1,IF(BA63=1,5,IF(AX63=1,2,IF(BB63=1,6,IF(BC63=1,7,IF(BD63=1,8,IF(BE63=1,9,"-")))))))))</f>
        <v>-</v>
      </c>
      <c r="E63" s="310" t="str">
        <f>IF(OR(OR(O63="Very High",O63="High"),AND(OR(O63="Very High",O63="High",O63="Normal"),OR(P63="Very High",P63="High"))),"K","T")</f>
        <v>K</v>
      </c>
      <c r="F63" s="310" t="s">
        <v>98</v>
      </c>
      <c r="G63" s="310" t="s">
        <v>466</v>
      </c>
      <c r="H63" s="310" t="s">
        <v>386</v>
      </c>
      <c r="I63" s="310" t="s">
        <v>215</v>
      </c>
      <c r="J63" s="310">
        <v>24</v>
      </c>
      <c r="K63" s="310" t="s">
        <v>107</v>
      </c>
      <c r="L63" s="310" t="s">
        <v>107</v>
      </c>
      <c r="M63" s="310" t="s">
        <v>47</v>
      </c>
      <c r="N63" s="311" t="s">
        <v>47</v>
      </c>
      <c r="O63" s="310" t="s">
        <v>228</v>
      </c>
      <c r="P63" s="311" t="s">
        <v>230</v>
      </c>
      <c r="Q63" s="310">
        <v>5</v>
      </c>
      <c r="R63" s="310">
        <v>5</v>
      </c>
      <c r="S63" s="310">
        <v>3</v>
      </c>
      <c r="T63" s="310">
        <v>3</v>
      </c>
      <c r="U63" s="311">
        <v>4</v>
      </c>
      <c r="V63" s="310">
        <v>5</v>
      </c>
      <c r="W63" s="310">
        <v>5</v>
      </c>
      <c r="X63" s="310">
        <v>3</v>
      </c>
      <c r="Y63" s="310">
        <v>4</v>
      </c>
      <c r="Z63" s="311">
        <v>5</v>
      </c>
      <c r="AA63" s="310">
        <v>10</v>
      </c>
      <c r="AB63" s="310">
        <v>2</v>
      </c>
      <c r="AC63" s="310">
        <v>1</v>
      </c>
      <c r="AD63" s="310" t="s">
        <v>41</v>
      </c>
      <c r="AE63" s="310">
        <v>10</v>
      </c>
      <c r="AF63" s="310">
        <v>7</v>
      </c>
      <c r="AG63" s="310">
        <v>6</v>
      </c>
      <c r="AH63" s="310">
        <v>5</v>
      </c>
      <c r="AI63" s="310" t="s">
        <v>41</v>
      </c>
      <c r="AJ63" s="310" t="s">
        <v>41</v>
      </c>
      <c r="AK63" s="311" t="s">
        <v>41</v>
      </c>
      <c r="AL63" s="310">
        <v>4</v>
      </c>
      <c r="AM63" s="310">
        <v>5</v>
      </c>
      <c r="AN63" s="311">
        <v>7</v>
      </c>
      <c r="AO63" s="312" t="s">
        <v>41</v>
      </c>
      <c r="AP63" s="311" t="s">
        <v>45</v>
      </c>
      <c r="AQ63" s="313">
        <f>AVERAGE(Q63,S63,T63)+IF(OR(Q63&gt;7,AND(Q63&gt;5,T63&gt;5)),0.5,0)+IF(S63&gt;7,0.25,0)+IF(Q63&lt;6,-0.5*(6-Q63),0)</f>
        <v>3.1666666666666665</v>
      </c>
      <c r="AR63" s="314" t="str">
        <f>IF(AQ63&gt;9,"SuperStar",IF(AQ63&gt;8,"Star",IF(AQ63&gt;6.5,"GoodReg",IF(AQ63&gt;5,"Reg",IF(AQ63&gt;4,"Bench","Minors")))))</f>
        <v>Minors</v>
      </c>
      <c r="AS63" s="313">
        <f>AVERAGE(V63,X63,Y63)+IF(OR(V63&gt;7,AND(V63&gt;5,Y63&gt;5)),0.5,0)+IF(X63&gt;7,0.25,0)+IF(V63&lt;6,-0.5*(6-V63),0)</f>
        <v>3.5</v>
      </c>
      <c r="AT63" s="313" t="str">
        <f>IF(AS63&gt;9,"SuperStar",IF(AS63&gt;8,"Star",IF(AS63&gt;6.5,"GoodReg",IF(AS63&gt;5,"Reg",IF(AS63&gt;4,"Bench","Minors")))))</f>
        <v>Minors</v>
      </c>
      <c r="AU63" s="314">
        <f>MIN(AQ63+(MAX(0,25-J63))^1.5,AS63)</f>
        <v>3.5</v>
      </c>
      <c r="AV63" s="314" t="str">
        <f>IF(AU63&gt;9,"SuperStar",IF(AU63&gt;8,"Star",IF(AU63&gt;6.5,"GoodReg",IF(AU63&gt;5,"Reg",IF(AU63&gt;4,"Bench","Minors")))))</f>
        <v>Minors</v>
      </c>
      <c r="AW63" s="315">
        <f>IF(AND(OR(Q63+T63&gt;12,AND(Q63&gt;6,T63&gt;6)),AL63&gt;6,OR(AM63&gt;=AL63,AM63&gt;6)),1,0)</f>
        <v>0</v>
      </c>
      <c r="AX63" s="316">
        <f>IF(OR(AND(Q63&gt;6,U63&gt;6),Q63+T63&gt;12),1,0)</f>
        <v>0</v>
      </c>
      <c r="AY63" s="316">
        <f>IF(AND(Q63&gt;6,S63&gt;6,T63&gt;6),1,0)</f>
        <v>0</v>
      </c>
      <c r="AZ63" s="316">
        <f>IF(AND(S63&gt;7,OR(Q63&gt;6,T63&gt;6)),1,0)</f>
        <v>0</v>
      </c>
      <c r="BA63" s="316">
        <f>IF(AND(S63&gt;6,OR(Q63&gt;6,T63&gt;6)),1,0)</f>
        <v>0</v>
      </c>
      <c r="BB63" s="316">
        <f>IF(AND(OR(Q63&gt;6,S63&gt;6),OR(Q63&gt;6,T63&gt;6)),1,0)</f>
        <v>0</v>
      </c>
      <c r="BC63" s="316">
        <f>IF(AND(Q63&gt;4,OR(Q63&gt;6,S63&gt;6,T63&gt;6)),1,0)</f>
        <v>0</v>
      </c>
      <c r="BD63" s="316">
        <f>IF(AND(Q63&gt;4,OR(Q63&gt;6,R63&gt;6,S63&gt;6,T63&gt;6)),1,0)</f>
        <v>0</v>
      </c>
      <c r="BE63" s="311">
        <f>IF(AND(Q63&gt;4,MAX(Q63:U63)&gt;6),1,0)</f>
        <v>0</v>
      </c>
      <c r="BF63" s="315">
        <f>IF(AND(OR(V63+Y63&gt;12,AND(V63&gt;6,Y63&gt;6)),AL63&gt;6,OR(AM63&gt;=AL63,AM63&gt;6)),1,0)</f>
        <v>0</v>
      </c>
      <c r="BG63" s="316">
        <f>IF(OR(AND(V63&gt;6,Z63&gt;6),V63+Y63&gt;12),1,0)</f>
        <v>0</v>
      </c>
      <c r="BH63" s="316">
        <f>IF(AND(V63&gt;6,X63&gt;6,Y63&gt;6),1,0)</f>
        <v>0</v>
      </c>
      <c r="BI63" s="316">
        <f>IF(AND(X63&gt;7,OR(V63&gt;6,Y63&gt;6)),1,0)</f>
        <v>0</v>
      </c>
      <c r="BJ63" s="316">
        <f>IF(AND(X63&gt;6,OR(V63&gt;6,Y63&gt;6)),1,0)</f>
        <v>0</v>
      </c>
      <c r="BK63" s="316">
        <f>IF(AND(OR(V63&gt;6,X63&gt;6),OR(V63&gt;6,Y63&gt;6)),1,0)</f>
        <v>0</v>
      </c>
      <c r="BL63" s="316">
        <f>IF(AND(V63&gt;4,OR(V63&gt;6,X63&gt;6,Y63&gt;6)),1,0)</f>
        <v>0</v>
      </c>
      <c r="BM63" s="316">
        <f>IF(AND(V63&gt;4,OR(V63&gt;6,W63&gt;6,X63&gt;6,Y63&gt;6)),1,0)</f>
        <v>0</v>
      </c>
      <c r="BN63" s="311">
        <f>IF(AND(V63&gt;4,MAX(V63:Z63)&gt;6),1,0)</f>
        <v>0</v>
      </c>
      <c r="BO63" s="311">
        <f>IF(AVERAGE(AL63:AM63)&gt;9,1,0)+IF(AVERAGE(AL63:AM63)&gt;7,1,0)+IF(AL63&gt;7,1,0)+IF(AM63&gt;7,1,0)+IF(AN63&gt;8,1,0)+IF(AN63&gt;6,1,0)</f>
        <v>1</v>
      </c>
      <c r="BP63" s="317">
        <f>IF(OR(MAX(AD63,AE63,AI63,AK63)&gt;6,MAX(AF63,AG63,AH63,AJ63)&gt;7),2,IF(MAX(AD63:AK63)&gt;4,1,0))</f>
        <v>2</v>
      </c>
      <c r="BQ63" s="310" t="str">
        <f>IF(AP63=1,"Yes","")</f>
        <v/>
      </c>
      <c r="BR63" s="309" t="str">
        <f>IF($A63="ML","There",IF(AND($V63&gt;=6,AVERAGE($X63:$Y63)&gt;=6),"Likely",IF(OR($V63&gt;6,AND($V63=6,AVERAGE($X63:$Y63)&gt;=3),AND($V63&gt;=5,AVERAGE($X63:$Y63)&gt;=5),AVERAGE($V63,$X63:$Y63)&gt;5),"Possible","Unlikely")))</f>
        <v>Unlikely</v>
      </c>
      <c r="BS63" s="310" t="str">
        <f>IF(OR(AND(Q63&gt;=6,S63+T63&gt;=12),Q63&gt;7),"Start",IF(AND(Q63&gt;=5,S63+T63&gt;=8),"Bench","aack!"))</f>
        <v>aack!</v>
      </c>
      <c r="BT63" s="310" t="str">
        <f>IF(OR(AND(V63&gt;=6,X63+Y63&gt;=12),V63&gt;7),"Start",IF(AND(V63&gt;=5,X63+Y63&gt;=8),"Bench","aack!"))</f>
        <v>aack!</v>
      </c>
      <c r="BU63" s="310" t="str">
        <f>IF(Q63&gt;5,"ML",IF(Q63=5,"AAA",IF(Q63=4,"AA",IF(Q63=3,"A","SS-A"))))</f>
        <v>AAA</v>
      </c>
      <c r="BV63" s="310">
        <f>Q63-V63</f>
        <v>0</v>
      </c>
      <c r="BW63" s="310">
        <f>R63-W63</f>
        <v>0</v>
      </c>
      <c r="BX63" s="310">
        <f>S63-X63</f>
        <v>0</v>
      </c>
      <c r="BY63" s="310">
        <f>T63-Y63</f>
        <v>-1</v>
      </c>
      <c r="BZ63" s="310">
        <f>U63-Z63</f>
        <v>-1</v>
      </c>
      <c r="CA63" s="310">
        <f>SUM(BV63:BZ63)</f>
        <v>-2</v>
      </c>
      <c r="CB63" s="310">
        <f>V63+X63+Y63</f>
        <v>12</v>
      </c>
      <c r="CC63" s="310">
        <f>V63+X63</f>
        <v>8</v>
      </c>
      <c r="CD63" s="310">
        <f>V63+Y63</f>
        <v>9</v>
      </c>
      <c r="CE63" s="310" t="str">
        <f>IF(J63&gt;24,"Now - Age",IF(Q63&gt;6,"Now",IF(V63&lt;6,"With Dev",MIN(V63-Q63,7-Q63))))</f>
        <v>With Dev</v>
      </c>
      <c r="CF63" s="325" t="str">
        <f t="shared" si="12"/>
        <v/>
      </c>
      <c r="CG63" s="325" t="str">
        <f t="shared" si="5"/>
        <v>X</v>
      </c>
      <c r="CH63" s="325" t="str">
        <f t="shared" si="6"/>
        <v>X</v>
      </c>
      <c r="CI63" s="325" t="str">
        <f t="shared" si="7"/>
        <v>X</v>
      </c>
      <c r="CJ63" s="325" t="str">
        <f t="shared" si="8"/>
        <v/>
      </c>
      <c r="CK63" s="325" t="str">
        <f t="shared" si="9"/>
        <v/>
      </c>
      <c r="CL63" s="325" t="str">
        <f t="shared" si="10"/>
        <v/>
      </c>
      <c r="CM63" s="325" t="str">
        <f t="shared" si="11"/>
        <v/>
      </c>
      <c r="CN63" s="325" t="str">
        <f t="shared" si="4"/>
        <v/>
      </c>
    </row>
    <row r="64" spans="1:92">
      <c r="A64" s="308" t="s">
        <v>215</v>
      </c>
      <c r="B64" s="309" t="s">
        <v>552</v>
      </c>
      <c r="C64" s="310" t="str">
        <f>IF(BH64=1,3,IF(BI64=1,4,IF(BF64=1,1,IF(BJ64=1,5,IF(BG64=1,2,IF(BK64=1,6,IF(BL64=1,7,IF(BM64=1,8,IF(BN64=1,9,"-")))))))))</f>
        <v>-</v>
      </c>
      <c r="D64" s="310" t="str">
        <f>IF(AY64=1,3,IF(AZ64=1,4,IF(AW64=1,1,IF(BA64=1,5,IF(AX64=1,2,IF(BB64=1,6,IF(BC64=1,7,IF(BD64=1,8,IF(BE64=1,9,"-")))))))))</f>
        <v>-</v>
      </c>
      <c r="E64" s="310" t="str">
        <f>IF(OR(OR(O64="Very High",O64="High"),AND(OR(O64="Very High",O64="High",O64="Normal"),OR(P64="Very High",P64="High"))),"K","T")</f>
        <v>T</v>
      </c>
      <c r="F64" s="310" t="s">
        <v>103</v>
      </c>
      <c r="G64" s="310" t="s">
        <v>441</v>
      </c>
      <c r="H64" s="310" t="s">
        <v>386</v>
      </c>
      <c r="I64" s="310" t="s">
        <v>215</v>
      </c>
      <c r="J64" s="310">
        <v>23</v>
      </c>
      <c r="K64" s="310" t="s">
        <v>106</v>
      </c>
      <c r="L64" s="310" t="s">
        <v>107</v>
      </c>
      <c r="M64" s="310" t="s">
        <v>47</v>
      </c>
      <c r="N64" s="311" t="s">
        <v>47</v>
      </c>
      <c r="O64" s="310" t="s">
        <v>230</v>
      </c>
      <c r="P64" s="311" t="s">
        <v>230</v>
      </c>
      <c r="Q64" s="310">
        <v>4</v>
      </c>
      <c r="R64" s="310">
        <v>8</v>
      </c>
      <c r="S64" s="310">
        <v>4</v>
      </c>
      <c r="T64" s="310">
        <v>3</v>
      </c>
      <c r="U64" s="311">
        <v>2</v>
      </c>
      <c r="V64" s="310">
        <v>4</v>
      </c>
      <c r="W64" s="310">
        <v>8</v>
      </c>
      <c r="X64" s="310">
        <v>4</v>
      </c>
      <c r="Y64" s="310">
        <v>3</v>
      </c>
      <c r="Z64" s="311">
        <v>4</v>
      </c>
      <c r="AA64" s="310">
        <v>1</v>
      </c>
      <c r="AB64" s="310">
        <v>8</v>
      </c>
      <c r="AC64" s="310">
        <v>1</v>
      </c>
      <c r="AD64" s="310" t="s">
        <v>41</v>
      </c>
      <c r="AE64" s="310">
        <v>1</v>
      </c>
      <c r="AF64" s="310" t="s">
        <v>41</v>
      </c>
      <c r="AG64" s="310" t="s">
        <v>41</v>
      </c>
      <c r="AH64" s="310" t="s">
        <v>41</v>
      </c>
      <c r="AI64" s="310">
        <v>6</v>
      </c>
      <c r="AJ64" s="310">
        <v>1</v>
      </c>
      <c r="AK64" s="311">
        <v>9</v>
      </c>
      <c r="AL64" s="310">
        <v>6</v>
      </c>
      <c r="AM64" s="310">
        <v>2</v>
      </c>
      <c r="AN64" s="311">
        <v>2</v>
      </c>
      <c r="AO64" s="312" t="s">
        <v>41</v>
      </c>
      <c r="AP64" s="311">
        <v>0</v>
      </c>
      <c r="AQ64" s="313">
        <f>AVERAGE(Q64,S64,T64)+IF(OR(Q64&gt;7,AND(Q64&gt;5,T64&gt;5)),0.5,0)+IF(S64&gt;7,0.25,0)+IF(Q64&lt;6,-0.5*(6-Q64),0)</f>
        <v>2.6666666666666665</v>
      </c>
      <c r="AR64" s="314" t="str">
        <f>IF(AQ64&gt;9,"SuperStar",IF(AQ64&gt;8,"Star",IF(AQ64&gt;6.5,"GoodReg",IF(AQ64&gt;5,"Reg",IF(AQ64&gt;4,"Bench","Minors")))))</f>
        <v>Minors</v>
      </c>
      <c r="AS64" s="313">
        <f>AVERAGE(V64,X64,Y64)+IF(OR(V64&gt;7,AND(V64&gt;5,Y64&gt;5)),0.5,0)+IF(X64&gt;7,0.25,0)+IF(V64&lt;6,-0.5*(6-V64),0)</f>
        <v>2.6666666666666665</v>
      </c>
      <c r="AT64" s="313" t="str">
        <f>IF(AS64&gt;9,"SuperStar",IF(AS64&gt;8,"Star",IF(AS64&gt;6.5,"GoodReg",IF(AS64&gt;5,"Reg",IF(AS64&gt;4,"Bench","Minors")))))</f>
        <v>Minors</v>
      </c>
      <c r="AU64" s="314">
        <f>MIN(AQ64+(MAX(0,25-J64))^1.5,AS64)</f>
        <v>2.6666666666666665</v>
      </c>
      <c r="AV64" s="314" t="str">
        <f>IF(AU64&gt;9,"SuperStar",IF(AU64&gt;8,"Star",IF(AU64&gt;6.5,"GoodReg",IF(AU64&gt;5,"Reg",IF(AU64&gt;4,"Bench","Minors")))))</f>
        <v>Minors</v>
      </c>
      <c r="AW64" s="315">
        <f>IF(AND(OR(Q64+T64&gt;12,AND(Q64&gt;6,T64&gt;6)),AL64&gt;6,OR(AM64&gt;=AL64,AM64&gt;6)),1,0)</f>
        <v>0</v>
      </c>
      <c r="AX64" s="316">
        <f>IF(OR(AND(Q64&gt;6,U64&gt;6),Q64+T64&gt;12),1,0)</f>
        <v>0</v>
      </c>
      <c r="AY64" s="316">
        <f>IF(AND(Q64&gt;6,S64&gt;6,T64&gt;6),1,0)</f>
        <v>0</v>
      </c>
      <c r="AZ64" s="316">
        <f>IF(AND(S64&gt;7,OR(Q64&gt;6,T64&gt;6)),1,0)</f>
        <v>0</v>
      </c>
      <c r="BA64" s="316">
        <f>IF(AND(S64&gt;6,OR(Q64&gt;6,T64&gt;6)),1,0)</f>
        <v>0</v>
      </c>
      <c r="BB64" s="316">
        <f>IF(AND(OR(Q64&gt;6,S64&gt;6),OR(Q64&gt;6,T64&gt;6)),1,0)</f>
        <v>0</v>
      </c>
      <c r="BC64" s="316">
        <f>IF(AND(Q64&gt;4,OR(Q64&gt;6,S64&gt;6,T64&gt;6)),1,0)</f>
        <v>0</v>
      </c>
      <c r="BD64" s="316">
        <f>IF(AND(Q64&gt;4,OR(Q64&gt;6,R64&gt;6,S64&gt;6,T64&gt;6)),1,0)</f>
        <v>0</v>
      </c>
      <c r="BE64" s="311">
        <f>IF(AND(Q64&gt;4,MAX(Q64:U64)&gt;6),1,0)</f>
        <v>0</v>
      </c>
      <c r="BF64" s="315">
        <f>IF(AND(OR(V64+Y64&gt;12,AND(V64&gt;6,Y64&gt;6)),AL64&gt;6,OR(AM64&gt;=AL64,AM64&gt;6)),1,0)</f>
        <v>0</v>
      </c>
      <c r="BG64" s="316">
        <f>IF(OR(AND(V64&gt;6,Z64&gt;6),V64+Y64&gt;12),1,0)</f>
        <v>0</v>
      </c>
      <c r="BH64" s="316">
        <f>IF(AND(V64&gt;6,X64&gt;6,Y64&gt;6),1,0)</f>
        <v>0</v>
      </c>
      <c r="BI64" s="316">
        <f>IF(AND(X64&gt;7,OR(V64&gt;6,Y64&gt;6)),1,0)</f>
        <v>0</v>
      </c>
      <c r="BJ64" s="316">
        <f>IF(AND(X64&gt;6,OR(V64&gt;6,Y64&gt;6)),1,0)</f>
        <v>0</v>
      </c>
      <c r="BK64" s="316">
        <f>IF(AND(OR(V64&gt;6,X64&gt;6),OR(V64&gt;6,Y64&gt;6)),1,0)</f>
        <v>0</v>
      </c>
      <c r="BL64" s="316">
        <f>IF(AND(V64&gt;4,OR(V64&gt;6,X64&gt;6,Y64&gt;6)),1,0)</f>
        <v>0</v>
      </c>
      <c r="BM64" s="316">
        <f>IF(AND(V64&gt;4,OR(V64&gt;6,W64&gt;6,X64&gt;6,Y64&gt;6)),1,0)</f>
        <v>0</v>
      </c>
      <c r="BN64" s="311">
        <f>IF(AND(V64&gt;4,MAX(V64:Z64)&gt;6),1,0)</f>
        <v>0</v>
      </c>
      <c r="BO64" s="311">
        <f>IF(AVERAGE(AL64:AM64)&gt;9,1,0)+IF(AVERAGE(AL64:AM64)&gt;7,1,0)+IF(AL64&gt;7,1,0)+IF(AM64&gt;7,1,0)+IF(AN64&gt;8,1,0)+IF(AN64&gt;6,1,0)</f>
        <v>0</v>
      </c>
      <c r="BP64" s="317">
        <f>IF(OR(MAX(AD64,AE64,AI64,AK64)&gt;6,MAX(AF64,AG64,AH64,AJ64)&gt;7),2,IF(MAX(AD64:AK64)&gt;4,1,0))</f>
        <v>2</v>
      </c>
      <c r="BQ64" s="310" t="str">
        <f>IF(AP64=1,"Yes","")</f>
        <v/>
      </c>
      <c r="BR64" s="309" t="str">
        <f>IF($A64="ML","There",IF(AND($V64&gt;=6,AVERAGE($X64:$Y64)&gt;=6),"Likely",IF(OR($V64&gt;6,AND($V64=6,AVERAGE($X64:$Y64)&gt;=3),AND($V64&gt;=5,AVERAGE($X64:$Y64)&gt;=5),AVERAGE($V64,$X64:$Y64)&gt;5),"Possible","Unlikely")))</f>
        <v>Unlikely</v>
      </c>
      <c r="BS64" s="310" t="str">
        <f>IF(OR(AND(Q64&gt;=6,S64+T64&gt;=12),Q64&gt;7),"Start",IF(AND(Q64&gt;=5,S64+T64&gt;=8),"Bench","aack!"))</f>
        <v>aack!</v>
      </c>
      <c r="BT64" s="310" t="str">
        <f>IF(OR(AND(V64&gt;=6,X64+Y64&gt;=12),V64&gt;7),"Start",IF(AND(V64&gt;=5,X64+Y64&gt;=8),"Bench","aack!"))</f>
        <v>aack!</v>
      </c>
      <c r="BU64" s="310" t="str">
        <f>IF(Q64&gt;5,"ML",IF(Q64=5,"AAA",IF(Q64=4,"AA",IF(Q64=3,"A","SS-A"))))</f>
        <v>AA</v>
      </c>
      <c r="BV64" s="310">
        <f>Q64-V64</f>
        <v>0</v>
      </c>
      <c r="BW64" s="310">
        <f>R64-W64</f>
        <v>0</v>
      </c>
      <c r="BX64" s="310">
        <f>S64-X64</f>
        <v>0</v>
      </c>
      <c r="BY64" s="310">
        <f>T64-Y64</f>
        <v>0</v>
      </c>
      <c r="BZ64" s="310">
        <f>U64-Z64</f>
        <v>-2</v>
      </c>
      <c r="CA64" s="310">
        <f>SUM(BV64:BZ64)</f>
        <v>-2</v>
      </c>
      <c r="CB64" s="310">
        <f>V64+X64+Y64</f>
        <v>11</v>
      </c>
      <c r="CC64" s="310">
        <f>V64+X64</f>
        <v>8</v>
      </c>
      <c r="CD64" s="310">
        <f>V64+Y64</f>
        <v>7</v>
      </c>
      <c r="CE64" s="310" t="str">
        <f>IF(J64&gt;24,"Now - Age",IF(Q64&gt;6,"Now",IF(V64&lt;6,"With Dev",MIN(V64-Q64,7-Q64))))</f>
        <v>With Dev</v>
      </c>
      <c r="CF64" s="325" t="str">
        <f t="shared" si="12"/>
        <v/>
      </c>
      <c r="CG64" s="325" t="str">
        <f t="shared" si="5"/>
        <v/>
      </c>
      <c r="CH64" s="325" t="str">
        <f t="shared" si="6"/>
        <v/>
      </c>
      <c r="CI64" s="325" t="str">
        <f t="shared" si="7"/>
        <v/>
      </c>
      <c r="CJ64" s="325" t="str">
        <f t="shared" si="8"/>
        <v/>
      </c>
      <c r="CK64" s="325" t="str">
        <f t="shared" si="9"/>
        <v>X</v>
      </c>
      <c r="CL64" s="325" t="str">
        <f t="shared" si="10"/>
        <v/>
      </c>
      <c r="CM64" s="325" t="str">
        <f t="shared" si="11"/>
        <v>X</v>
      </c>
      <c r="CN64" s="325" t="str">
        <f t="shared" si="4"/>
        <v/>
      </c>
    </row>
    <row r="65" spans="1:92">
      <c r="A65" s="308" t="s">
        <v>215</v>
      </c>
      <c r="B65" s="309" t="s">
        <v>102</v>
      </c>
      <c r="C65" s="310" t="str">
        <f>IF(BH65=1,3,IF(BI65=1,4,IF(BF65=1,1,IF(BJ65=1,5,IF(BG65=1,2,IF(BK65=1,6,IF(BL65=1,7,IF(BM65=1,8,IF(BN65=1,9,"-")))))))))</f>
        <v>-</v>
      </c>
      <c r="D65" s="310" t="str">
        <f>IF(AY65=1,3,IF(AZ65=1,4,IF(AW65=1,1,IF(BA65=1,5,IF(AX65=1,2,IF(BB65=1,6,IF(BC65=1,7,IF(BD65=1,8,IF(BE65=1,9,"-")))))))))</f>
        <v>-</v>
      </c>
      <c r="E65" s="310" t="str">
        <f>IF(OR(OR(O65="Very High",O65="High"),AND(OR(O65="Very High",O65="High",O65="Normal"),OR(P65="Very High",P65="High"))),"K","T")</f>
        <v>T</v>
      </c>
      <c r="F65" s="310" t="s">
        <v>102</v>
      </c>
      <c r="G65" s="310" t="s">
        <v>430</v>
      </c>
      <c r="H65" s="310" t="s">
        <v>386</v>
      </c>
      <c r="I65" s="310" t="s">
        <v>215</v>
      </c>
      <c r="J65" s="310">
        <v>24</v>
      </c>
      <c r="K65" s="310" t="s">
        <v>107</v>
      </c>
      <c r="L65" s="310" t="s">
        <v>107</v>
      </c>
      <c r="M65" s="310" t="s">
        <v>47</v>
      </c>
      <c r="N65" s="311" t="s">
        <v>47</v>
      </c>
      <c r="O65" s="310" t="s">
        <v>231</v>
      </c>
      <c r="P65" s="311" t="s">
        <v>228</v>
      </c>
      <c r="Q65" s="310">
        <v>5</v>
      </c>
      <c r="R65" s="310">
        <v>2</v>
      </c>
      <c r="S65" s="310">
        <v>1</v>
      </c>
      <c r="T65" s="310">
        <v>3</v>
      </c>
      <c r="U65" s="311">
        <v>4</v>
      </c>
      <c r="V65" s="310">
        <v>5</v>
      </c>
      <c r="W65" s="310">
        <v>2</v>
      </c>
      <c r="X65" s="310">
        <v>1</v>
      </c>
      <c r="Y65" s="310">
        <v>4</v>
      </c>
      <c r="Z65" s="311">
        <v>4</v>
      </c>
      <c r="AA65" s="310">
        <v>1</v>
      </c>
      <c r="AB65" s="310">
        <v>7</v>
      </c>
      <c r="AC65" s="310">
        <v>1</v>
      </c>
      <c r="AD65" s="310" t="s">
        <v>41</v>
      </c>
      <c r="AE65" s="310">
        <v>1</v>
      </c>
      <c r="AF65" s="310" t="s">
        <v>41</v>
      </c>
      <c r="AG65" s="310" t="s">
        <v>41</v>
      </c>
      <c r="AH65" s="310" t="s">
        <v>41</v>
      </c>
      <c r="AI65" s="310">
        <v>9</v>
      </c>
      <c r="AJ65" s="310">
        <v>10</v>
      </c>
      <c r="AK65" s="311">
        <v>8</v>
      </c>
      <c r="AL65" s="310">
        <v>8</v>
      </c>
      <c r="AM65" s="310">
        <v>6</v>
      </c>
      <c r="AN65" s="311">
        <v>7</v>
      </c>
      <c r="AO65" s="312" t="s">
        <v>41</v>
      </c>
      <c r="AP65" s="311" t="s">
        <v>45</v>
      </c>
      <c r="AQ65" s="313">
        <f>AVERAGE(Q65,S65,T65)+IF(OR(Q65&gt;7,AND(Q65&gt;5,T65&gt;5)),0.5,0)+IF(S65&gt;7,0.25,0)+IF(Q65&lt;6,-0.5*(6-Q65),0)</f>
        <v>2.5</v>
      </c>
      <c r="AR65" s="314" t="str">
        <f>IF(AQ65&gt;9,"SuperStar",IF(AQ65&gt;8,"Star",IF(AQ65&gt;6.5,"GoodReg",IF(AQ65&gt;5,"Reg",IF(AQ65&gt;4,"Bench","Minors")))))</f>
        <v>Minors</v>
      </c>
      <c r="AS65" s="313">
        <f>AVERAGE(V65,X65,Y65)+IF(OR(V65&gt;7,AND(V65&gt;5,Y65&gt;5)),0.5,0)+IF(X65&gt;7,0.25,0)+IF(V65&lt;6,-0.5*(6-V65),0)</f>
        <v>2.8333333333333335</v>
      </c>
      <c r="AT65" s="313" t="str">
        <f>IF(AS65&gt;9,"SuperStar",IF(AS65&gt;8,"Star",IF(AS65&gt;6.5,"GoodReg",IF(AS65&gt;5,"Reg",IF(AS65&gt;4,"Bench","Minors")))))</f>
        <v>Minors</v>
      </c>
      <c r="AU65" s="314">
        <f>MIN(AQ65+(MAX(0,25-J65))^1.5,AS65)</f>
        <v>2.8333333333333335</v>
      </c>
      <c r="AV65" s="314" t="str">
        <f>IF(AU65&gt;9,"SuperStar",IF(AU65&gt;8,"Star",IF(AU65&gt;6.5,"GoodReg",IF(AU65&gt;5,"Reg",IF(AU65&gt;4,"Bench","Minors")))))</f>
        <v>Minors</v>
      </c>
      <c r="AW65" s="315">
        <f>IF(AND(OR(Q65+T65&gt;12,AND(Q65&gt;6,T65&gt;6)),AL65&gt;6,OR(AM65&gt;=AL65,AM65&gt;6)),1,0)</f>
        <v>0</v>
      </c>
      <c r="AX65" s="316">
        <f>IF(OR(AND(Q65&gt;6,U65&gt;6),Q65+T65&gt;12),1,0)</f>
        <v>0</v>
      </c>
      <c r="AY65" s="316">
        <f>IF(AND(Q65&gt;6,S65&gt;6,T65&gt;6),1,0)</f>
        <v>0</v>
      </c>
      <c r="AZ65" s="316">
        <f>IF(AND(S65&gt;7,OR(Q65&gt;6,T65&gt;6)),1,0)</f>
        <v>0</v>
      </c>
      <c r="BA65" s="316">
        <f>IF(AND(S65&gt;6,OR(Q65&gt;6,T65&gt;6)),1,0)</f>
        <v>0</v>
      </c>
      <c r="BB65" s="316">
        <f>IF(AND(OR(Q65&gt;6,S65&gt;6),OR(Q65&gt;6,T65&gt;6)),1,0)</f>
        <v>0</v>
      </c>
      <c r="BC65" s="316">
        <f>IF(AND(Q65&gt;4,OR(Q65&gt;6,S65&gt;6,T65&gt;6)),1,0)</f>
        <v>0</v>
      </c>
      <c r="BD65" s="316">
        <f>IF(AND(Q65&gt;4,OR(Q65&gt;6,R65&gt;6,S65&gt;6,T65&gt;6)),1,0)</f>
        <v>0</v>
      </c>
      <c r="BE65" s="311">
        <f>IF(AND(Q65&gt;4,MAX(Q65:U65)&gt;6),1,0)</f>
        <v>0</v>
      </c>
      <c r="BF65" s="315">
        <f>IF(AND(OR(V65+Y65&gt;12,AND(V65&gt;6,Y65&gt;6)),AL65&gt;6,OR(AM65&gt;=AL65,AM65&gt;6)),1,0)</f>
        <v>0</v>
      </c>
      <c r="BG65" s="316">
        <f>IF(OR(AND(V65&gt;6,Z65&gt;6),V65+Y65&gt;12),1,0)</f>
        <v>0</v>
      </c>
      <c r="BH65" s="316">
        <f>IF(AND(V65&gt;6,X65&gt;6,Y65&gt;6),1,0)</f>
        <v>0</v>
      </c>
      <c r="BI65" s="316">
        <f>IF(AND(X65&gt;7,OR(V65&gt;6,Y65&gt;6)),1,0)</f>
        <v>0</v>
      </c>
      <c r="BJ65" s="316">
        <f>IF(AND(X65&gt;6,OR(V65&gt;6,Y65&gt;6)),1,0)</f>
        <v>0</v>
      </c>
      <c r="BK65" s="316">
        <f>IF(AND(OR(V65&gt;6,X65&gt;6),OR(V65&gt;6,Y65&gt;6)),1,0)</f>
        <v>0</v>
      </c>
      <c r="BL65" s="316">
        <f>IF(AND(V65&gt;4,OR(V65&gt;6,X65&gt;6,Y65&gt;6)),1,0)</f>
        <v>0</v>
      </c>
      <c r="BM65" s="316">
        <f>IF(AND(V65&gt;4,OR(V65&gt;6,W65&gt;6,X65&gt;6,Y65&gt;6)),1,0)</f>
        <v>0</v>
      </c>
      <c r="BN65" s="311">
        <f>IF(AND(V65&gt;4,MAX(V65:Z65)&gt;6),1,0)</f>
        <v>0</v>
      </c>
      <c r="BO65" s="311">
        <f>IF(AVERAGE(AL65:AM65)&gt;9,1,0)+IF(AVERAGE(AL65:AM65)&gt;7,1,0)+IF(AL65&gt;7,1,0)+IF(AM65&gt;7,1,0)+IF(AN65&gt;8,1,0)+IF(AN65&gt;6,1,0)</f>
        <v>2</v>
      </c>
      <c r="BP65" s="317">
        <f>IF(OR(MAX(AD65,AE65,AI65,AK65)&gt;6,MAX(AF65,AG65,AH65,AJ65)&gt;7),2,IF(MAX(AD65:AK65)&gt;4,1,0))</f>
        <v>2</v>
      </c>
      <c r="BQ65" s="310" t="str">
        <f>IF(AP65=1,"Yes","")</f>
        <v/>
      </c>
      <c r="BR65" s="309" t="str">
        <f>IF($A65="ML","There",IF(AND($V65&gt;=6,AVERAGE($X65:$Y65)&gt;=6),"Likely",IF(OR($V65&gt;6,AND($V65=6,AVERAGE($X65:$Y65)&gt;=3),AND($V65&gt;=5,AVERAGE($X65:$Y65)&gt;=5),AVERAGE($V65,$X65:$Y65)&gt;5),"Possible","Unlikely")))</f>
        <v>Unlikely</v>
      </c>
      <c r="BS65" s="310" t="str">
        <f>IF(OR(AND(Q65&gt;=6,S65+T65&gt;=12),Q65&gt;7),"Start",IF(AND(Q65&gt;=5,S65+T65&gt;=8),"Bench","aack!"))</f>
        <v>aack!</v>
      </c>
      <c r="BT65" s="310" t="str">
        <f>IF(OR(AND(V65&gt;=6,X65+Y65&gt;=12),V65&gt;7),"Start",IF(AND(V65&gt;=5,X65+Y65&gt;=8),"Bench","aack!"))</f>
        <v>aack!</v>
      </c>
      <c r="BU65" s="310" t="str">
        <f>IF(Q65&gt;5,"ML",IF(Q65=5,"AAA",IF(Q65=4,"AA",IF(Q65=3,"A","SS-A"))))</f>
        <v>AAA</v>
      </c>
      <c r="BV65" s="310">
        <f>Q65-V65</f>
        <v>0</v>
      </c>
      <c r="BW65" s="310">
        <f>R65-W65</f>
        <v>0</v>
      </c>
      <c r="BX65" s="310">
        <f>S65-X65</f>
        <v>0</v>
      </c>
      <c r="BY65" s="310">
        <f>T65-Y65</f>
        <v>-1</v>
      </c>
      <c r="BZ65" s="310">
        <f>U65-Z65</f>
        <v>0</v>
      </c>
      <c r="CA65" s="310">
        <f>SUM(BV65:BZ65)</f>
        <v>-1</v>
      </c>
      <c r="CB65" s="310">
        <f>V65+X65+Y65</f>
        <v>10</v>
      </c>
      <c r="CC65" s="310">
        <f>V65+X65</f>
        <v>6</v>
      </c>
      <c r="CD65" s="310">
        <f>V65+Y65</f>
        <v>9</v>
      </c>
      <c r="CE65" s="310" t="str">
        <f>IF(J65&gt;24,"Now - Age",IF(Q65&gt;6,"Now",IF(V65&lt;6,"With Dev",MIN(V65-Q65,7-Q65))))</f>
        <v>With Dev</v>
      </c>
      <c r="CF65" s="325" t="str">
        <f t="shared" si="12"/>
        <v/>
      </c>
      <c r="CG65" s="325" t="str">
        <f t="shared" si="5"/>
        <v/>
      </c>
      <c r="CH65" s="325" t="str">
        <f t="shared" si="6"/>
        <v/>
      </c>
      <c r="CI65" s="325" t="str">
        <f t="shared" si="7"/>
        <v/>
      </c>
      <c r="CJ65" s="325" t="str">
        <f t="shared" si="8"/>
        <v/>
      </c>
      <c r="CK65" s="325" t="str">
        <f t="shared" si="9"/>
        <v>X</v>
      </c>
      <c r="CL65" s="325" t="str">
        <f t="shared" si="10"/>
        <v>X</v>
      </c>
      <c r="CM65" s="325" t="str">
        <f t="shared" si="11"/>
        <v>X</v>
      </c>
      <c r="CN65" s="325" t="str">
        <f t="shared" si="4"/>
        <v/>
      </c>
    </row>
    <row r="66" spans="1:92">
      <c r="A66" s="308" t="s">
        <v>215</v>
      </c>
      <c r="B66" s="309" t="s">
        <v>552</v>
      </c>
      <c r="C66" s="310" t="str">
        <f>IF(BH66=1,3,IF(BI66=1,4,IF(BF66=1,1,IF(BJ66=1,5,IF(BG66=1,2,IF(BK66=1,6,IF(BL66=1,7,IF(BM66=1,8,IF(BN66=1,9,"-")))))))))</f>
        <v>-</v>
      </c>
      <c r="D66" s="310" t="str">
        <f>IF(AY66=1,3,IF(AZ66=1,4,IF(AW66=1,1,IF(BA66=1,5,IF(AX66=1,2,IF(BB66=1,6,IF(BC66=1,7,IF(BD66=1,8,IF(BE66=1,9,"-")))))))))</f>
        <v>-</v>
      </c>
      <c r="E66" s="310" t="str">
        <f>IF(OR(OR(O66="Very High",O66="High"),AND(OR(O66="Very High",O66="High",O66="Normal"),OR(P66="Very High",P66="High"))),"K","T")</f>
        <v>K</v>
      </c>
      <c r="F66" s="310" t="s">
        <v>102</v>
      </c>
      <c r="G66" s="310" t="s">
        <v>416</v>
      </c>
      <c r="H66" s="310" t="s">
        <v>386</v>
      </c>
      <c r="I66" s="310" t="s">
        <v>215</v>
      </c>
      <c r="J66" s="310">
        <v>24</v>
      </c>
      <c r="K66" s="310" t="s">
        <v>107</v>
      </c>
      <c r="L66" s="310" t="s">
        <v>107</v>
      </c>
      <c r="M66" s="310" t="s">
        <v>47</v>
      </c>
      <c r="N66" s="311" t="s">
        <v>47</v>
      </c>
      <c r="O66" s="310" t="s">
        <v>229</v>
      </c>
      <c r="P66" s="311" t="s">
        <v>232</v>
      </c>
      <c r="Q66" s="310">
        <v>5</v>
      </c>
      <c r="R66" s="310">
        <v>2</v>
      </c>
      <c r="S66" s="310">
        <v>1</v>
      </c>
      <c r="T66" s="310">
        <v>2</v>
      </c>
      <c r="U66" s="311">
        <v>4</v>
      </c>
      <c r="V66" s="310">
        <v>5</v>
      </c>
      <c r="W66" s="310">
        <v>2</v>
      </c>
      <c r="X66" s="310">
        <v>1</v>
      </c>
      <c r="Y66" s="310">
        <v>2</v>
      </c>
      <c r="Z66" s="311">
        <v>4</v>
      </c>
      <c r="AA66" s="310">
        <v>6</v>
      </c>
      <c r="AB66" s="310">
        <v>8</v>
      </c>
      <c r="AC66" s="310">
        <v>1</v>
      </c>
      <c r="AD66" s="310" t="s">
        <v>41</v>
      </c>
      <c r="AE66" s="310">
        <v>4</v>
      </c>
      <c r="AF66" s="310" t="s">
        <v>41</v>
      </c>
      <c r="AG66" s="310">
        <v>1</v>
      </c>
      <c r="AH66" s="310" t="s">
        <v>41</v>
      </c>
      <c r="AI66" s="310">
        <v>9</v>
      </c>
      <c r="AJ66" s="310">
        <v>10</v>
      </c>
      <c r="AK66" s="311">
        <v>10</v>
      </c>
      <c r="AL66" s="310">
        <v>5</v>
      </c>
      <c r="AM66" s="310">
        <v>4</v>
      </c>
      <c r="AN66" s="311">
        <v>4</v>
      </c>
      <c r="AO66" s="312" t="s">
        <v>41</v>
      </c>
      <c r="AP66" s="311">
        <v>0</v>
      </c>
      <c r="AQ66" s="313">
        <f>AVERAGE(Q66,S66,T66)+IF(OR(Q66&gt;7,AND(Q66&gt;5,T66&gt;5)),0.5,0)+IF(S66&gt;7,0.25,0)+IF(Q66&lt;6,-0.5*(6-Q66),0)</f>
        <v>2.1666666666666665</v>
      </c>
      <c r="AR66" s="314" t="str">
        <f>IF(AQ66&gt;9,"SuperStar",IF(AQ66&gt;8,"Star",IF(AQ66&gt;6.5,"GoodReg",IF(AQ66&gt;5,"Reg",IF(AQ66&gt;4,"Bench","Minors")))))</f>
        <v>Minors</v>
      </c>
      <c r="AS66" s="313">
        <f>AVERAGE(V66,X66,Y66)+IF(OR(V66&gt;7,AND(V66&gt;5,Y66&gt;5)),0.5,0)+IF(X66&gt;7,0.25,0)+IF(V66&lt;6,-0.5*(6-V66),0)</f>
        <v>2.1666666666666665</v>
      </c>
      <c r="AT66" s="313" t="str">
        <f>IF(AS66&gt;9,"SuperStar",IF(AS66&gt;8,"Star",IF(AS66&gt;6.5,"GoodReg",IF(AS66&gt;5,"Reg",IF(AS66&gt;4,"Bench","Minors")))))</f>
        <v>Minors</v>
      </c>
      <c r="AU66" s="314">
        <f>MIN(AQ66+(MAX(0,25-J66))^1.5,AS66)</f>
        <v>2.1666666666666665</v>
      </c>
      <c r="AV66" s="314" t="str">
        <f>IF(AU66&gt;9,"SuperStar",IF(AU66&gt;8,"Star",IF(AU66&gt;6.5,"GoodReg",IF(AU66&gt;5,"Reg",IF(AU66&gt;4,"Bench","Minors")))))</f>
        <v>Minors</v>
      </c>
      <c r="AW66" s="315">
        <f>IF(AND(OR(Q66+T66&gt;12,AND(Q66&gt;6,T66&gt;6)),AL66&gt;6,OR(AM66&gt;=AL66,AM66&gt;6)),1,0)</f>
        <v>0</v>
      </c>
      <c r="AX66" s="316">
        <f>IF(OR(AND(Q66&gt;6,U66&gt;6),Q66+T66&gt;12),1,0)</f>
        <v>0</v>
      </c>
      <c r="AY66" s="316">
        <f>IF(AND(Q66&gt;6,S66&gt;6,T66&gt;6),1,0)</f>
        <v>0</v>
      </c>
      <c r="AZ66" s="316">
        <f>IF(AND(S66&gt;7,OR(Q66&gt;6,T66&gt;6)),1,0)</f>
        <v>0</v>
      </c>
      <c r="BA66" s="316">
        <f>IF(AND(S66&gt;6,OR(Q66&gt;6,T66&gt;6)),1,0)</f>
        <v>0</v>
      </c>
      <c r="BB66" s="316">
        <f>IF(AND(OR(Q66&gt;6,S66&gt;6),OR(Q66&gt;6,T66&gt;6)),1,0)</f>
        <v>0</v>
      </c>
      <c r="BC66" s="316">
        <f>IF(AND(Q66&gt;4,OR(Q66&gt;6,S66&gt;6,T66&gt;6)),1,0)</f>
        <v>0</v>
      </c>
      <c r="BD66" s="316">
        <f>IF(AND(Q66&gt;4,OR(Q66&gt;6,R66&gt;6,S66&gt;6,T66&gt;6)),1,0)</f>
        <v>0</v>
      </c>
      <c r="BE66" s="311">
        <f>IF(AND(Q66&gt;4,MAX(Q66:U66)&gt;6),1,0)</f>
        <v>0</v>
      </c>
      <c r="BF66" s="315">
        <f>IF(AND(OR(V66+Y66&gt;12,AND(V66&gt;6,Y66&gt;6)),AL66&gt;6,OR(AM66&gt;=AL66,AM66&gt;6)),1,0)</f>
        <v>0</v>
      </c>
      <c r="BG66" s="316">
        <f>IF(OR(AND(V66&gt;6,Z66&gt;6),V66+Y66&gt;12),1,0)</f>
        <v>0</v>
      </c>
      <c r="BH66" s="316">
        <f>IF(AND(V66&gt;6,X66&gt;6,Y66&gt;6),1,0)</f>
        <v>0</v>
      </c>
      <c r="BI66" s="316">
        <f>IF(AND(X66&gt;7,OR(V66&gt;6,Y66&gt;6)),1,0)</f>
        <v>0</v>
      </c>
      <c r="BJ66" s="316">
        <f>IF(AND(X66&gt;6,OR(V66&gt;6,Y66&gt;6)),1,0)</f>
        <v>0</v>
      </c>
      <c r="BK66" s="316">
        <f>IF(AND(OR(V66&gt;6,X66&gt;6),OR(V66&gt;6,Y66&gt;6)),1,0)</f>
        <v>0</v>
      </c>
      <c r="BL66" s="316">
        <f>IF(AND(V66&gt;4,OR(V66&gt;6,X66&gt;6,Y66&gt;6)),1,0)</f>
        <v>0</v>
      </c>
      <c r="BM66" s="316">
        <f>IF(AND(V66&gt;4,OR(V66&gt;6,W66&gt;6,X66&gt;6,Y66&gt;6)),1,0)</f>
        <v>0</v>
      </c>
      <c r="BN66" s="311">
        <f>IF(AND(V66&gt;4,MAX(V66:Z66)&gt;6),1,0)</f>
        <v>0</v>
      </c>
      <c r="BO66" s="311">
        <f>IF(AVERAGE(AL66:AM66)&gt;9,1,0)+IF(AVERAGE(AL66:AM66)&gt;7,1,0)+IF(AL66&gt;7,1,0)+IF(AM66&gt;7,1,0)+IF(AN66&gt;8,1,0)+IF(AN66&gt;6,1,0)</f>
        <v>0</v>
      </c>
      <c r="BP66" s="317">
        <f>IF(OR(MAX(AD66,AE66,AI66,AK66)&gt;6,MAX(AF66,AG66,AH66,AJ66)&gt;7),2,IF(MAX(AD66:AK66)&gt;4,1,0))</f>
        <v>2</v>
      </c>
      <c r="BQ66" s="310" t="str">
        <f>IF(AP66=1,"Yes","")</f>
        <v/>
      </c>
      <c r="BR66" s="309" t="str">
        <f>IF($A66="ML","There",IF(AND($V66&gt;=6,AVERAGE($X66:$Y66)&gt;=6),"Likely",IF(OR($V66&gt;6,AND($V66=6,AVERAGE($X66:$Y66)&gt;=3),AND($V66&gt;=5,AVERAGE($X66:$Y66)&gt;=5),AVERAGE($V66,$X66:$Y66)&gt;5),"Possible","Unlikely")))</f>
        <v>Unlikely</v>
      </c>
      <c r="BS66" s="310" t="str">
        <f>IF(OR(AND(Q66&gt;=6,S66+T66&gt;=12),Q66&gt;7),"Start",IF(AND(Q66&gt;=5,S66+T66&gt;=8),"Bench","aack!"))</f>
        <v>aack!</v>
      </c>
      <c r="BT66" s="310" t="str">
        <f>IF(OR(AND(V66&gt;=6,X66+Y66&gt;=12),V66&gt;7),"Start",IF(AND(V66&gt;=5,X66+Y66&gt;=8),"Bench","aack!"))</f>
        <v>aack!</v>
      </c>
      <c r="BU66" s="310" t="str">
        <f>IF(Q66&gt;5,"ML",IF(Q66=5,"AAA",IF(Q66=4,"AA",IF(Q66=3,"A","SS-A"))))</f>
        <v>AAA</v>
      </c>
      <c r="BV66" s="310">
        <f>Q66-V66</f>
        <v>0</v>
      </c>
      <c r="BW66" s="310">
        <f>R66-W66</f>
        <v>0</v>
      </c>
      <c r="BX66" s="310">
        <f>S66-X66</f>
        <v>0</v>
      </c>
      <c r="BY66" s="310">
        <f>T66-Y66</f>
        <v>0</v>
      </c>
      <c r="BZ66" s="310">
        <f>U66-Z66</f>
        <v>0</v>
      </c>
      <c r="CA66" s="310">
        <f>SUM(BV66:BZ66)</f>
        <v>0</v>
      </c>
      <c r="CB66" s="310">
        <f>V66+X66+Y66</f>
        <v>8</v>
      </c>
      <c r="CC66" s="310">
        <f>V66+X66</f>
        <v>6</v>
      </c>
      <c r="CD66" s="310">
        <f>V66+Y66</f>
        <v>7</v>
      </c>
      <c r="CE66" s="310" t="str">
        <f>IF(J66&gt;24,"Now - Age",IF(Q66&gt;6,"Now",IF(V66&lt;6,"With Dev",MIN(V66-Q66,7-Q66))))</f>
        <v>With Dev</v>
      </c>
      <c r="CF66" s="325" t="str">
        <f t="shared" si="12"/>
        <v/>
      </c>
      <c r="CG66" s="325" t="str">
        <f t="shared" si="5"/>
        <v/>
      </c>
      <c r="CH66" s="325" t="str">
        <f t="shared" si="6"/>
        <v/>
      </c>
      <c r="CI66" s="325" t="str">
        <f t="shared" si="7"/>
        <v/>
      </c>
      <c r="CJ66" s="325" t="str">
        <f t="shared" si="8"/>
        <v/>
      </c>
      <c r="CK66" s="325" t="str">
        <f t="shared" si="9"/>
        <v>X</v>
      </c>
      <c r="CL66" s="325" t="str">
        <f t="shared" si="10"/>
        <v>X</v>
      </c>
      <c r="CM66" s="325" t="str">
        <f t="shared" si="11"/>
        <v>X</v>
      </c>
      <c r="CN66" s="325" t="str">
        <f t="shared" si="4"/>
        <v/>
      </c>
    </row>
    <row r="67" spans="1:92">
      <c r="A67" s="308" t="s">
        <v>215</v>
      </c>
      <c r="B67" s="309" t="s">
        <v>584</v>
      </c>
      <c r="C67" s="310" t="str">
        <f>IF(BH67=1,3,IF(BI67=1,4,IF(BF67=1,1,IF(BJ67=1,5,IF(BG67=1,2,IF(BK67=1,6,IF(BL67=1,7,IF(BM67=1,8,IF(BN67=1,9,"-")))))))))</f>
        <v>-</v>
      </c>
      <c r="D67" s="310" t="str">
        <f>IF(AY67=1,3,IF(AZ67=1,4,IF(AW67=1,1,IF(BA67=1,5,IF(AX67=1,2,IF(BB67=1,6,IF(BC67=1,7,IF(BD67=1,8,IF(BE67=1,9,"-")))))))))</f>
        <v>-</v>
      </c>
      <c r="E67" s="310" t="str">
        <f>IF(OR(OR(O67="Very High",O67="High"),AND(OR(O67="Very High",O67="High",O67="Normal"),OR(P67="Very High",P67="High"))),"K","T")</f>
        <v>T</v>
      </c>
      <c r="F67" s="310" t="s">
        <v>102</v>
      </c>
      <c r="G67" s="310" t="s">
        <v>440</v>
      </c>
      <c r="H67" s="310" t="s">
        <v>386</v>
      </c>
      <c r="I67" s="310" t="s">
        <v>215</v>
      </c>
      <c r="J67" s="310">
        <v>23</v>
      </c>
      <c r="K67" s="310" t="s">
        <v>107</v>
      </c>
      <c r="L67" s="310" t="s">
        <v>107</v>
      </c>
      <c r="M67" s="310" t="s">
        <v>47</v>
      </c>
      <c r="N67" s="311" t="s">
        <v>47</v>
      </c>
      <c r="O67" s="310" t="s">
        <v>231</v>
      </c>
      <c r="P67" s="311" t="s">
        <v>229</v>
      </c>
      <c r="Q67" s="310">
        <v>4</v>
      </c>
      <c r="R67" s="310">
        <v>5</v>
      </c>
      <c r="S67" s="310">
        <v>1</v>
      </c>
      <c r="T67" s="310">
        <v>2</v>
      </c>
      <c r="U67" s="311">
        <v>3</v>
      </c>
      <c r="V67" s="310">
        <v>4</v>
      </c>
      <c r="W67" s="310">
        <v>5</v>
      </c>
      <c r="X67" s="310">
        <v>1</v>
      </c>
      <c r="Y67" s="310">
        <v>2</v>
      </c>
      <c r="Z67" s="311">
        <v>4</v>
      </c>
      <c r="AA67" s="310">
        <v>1</v>
      </c>
      <c r="AB67" s="310">
        <v>6</v>
      </c>
      <c r="AC67" s="310">
        <v>1</v>
      </c>
      <c r="AD67" s="310" t="s">
        <v>41</v>
      </c>
      <c r="AE67" s="310">
        <v>1</v>
      </c>
      <c r="AF67" s="310" t="s">
        <v>41</v>
      </c>
      <c r="AG67" s="310" t="s">
        <v>41</v>
      </c>
      <c r="AH67" s="310" t="s">
        <v>41</v>
      </c>
      <c r="AI67" s="310">
        <v>10</v>
      </c>
      <c r="AJ67" s="310">
        <v>10</v>
      </c>
      <c r="AK67" s="311">
        <v>9</v>
      </c>
      <c r="AL67" s="310">
        <v>6</v>
      </c>
      <c r="AM67" s="310">
        <v>7</v>
      </c>
      <c r="AN67" s="311">
        <v>8</v>
      </c>
      <c r="AO67" s="312" t="s">
        <v>41</v>
      </c>
      <c r="AP67" s="311">
        <v>0</v>
      </c>
      <c r="AQ67" s="313">
        <f>AVERAGE(Q67,S67,T67)+IF(OR(Q67&gt;7,AND(Q67&gt;5,T67&gt;5)),0.5,0)+IF(S67&gt;7,0.25,0)+IF(Q67&lt;6,-0.5*(6-Q67),0)</f>
        <v>1.3333333333333335</v>
      </c>
      <c r="AR67" s="314" t="str">
        <f>IF(AQ67&gt;9,"SuperStar",IF(AQ67&gt;8,"Star",IF(AQ67&gt;6.5,"GoodReg",IF(AQ67&gt;5,"Reg",IF(AQ67&gt;4,"Bench","Minors")))))</f>
        <v>Minors</v>
      </c>
      <c r="AS67" s="313">
        <f>AVERAGE(V67,X67,Y67)+IF(OR(V67&gt;7,AND(V67&gt;5,Y67&gt;5)),0.5,0)+IF(X67&gt;7,0.25,0)+IF(V67&lt;6,-0.5*(6-V67),0)</f>
        <v>1.3333333333333335</v>
      </c>
      <c r="AT67" s="313" t="str">
        <f>IF(AS67&gt;9,"SuperStar",IF(AS67&gt;8,"Star",IF(AS67&gt;6.5,"GoodReg",IF(AS67&gt;5,"Reg",IF(AS67&gt;4,"Bench","Minors")))))</f>
        <v>Minors</v>
      </c>
      <c r="AU67" s="314">
        <f>MIN(AQ67+(MAX(0,25-J67))^1.5,AS67)</f>
        <v>1.3333333333333335</v>
      </c>
      <c r="AV67" s="314" t="str">
        <f>IF(AU67&gt;9,"SuperStar",IF(AU67&gt;8,"Star",IF(AU67&gt;6.5,"GoodReg",IF(AU67&gt;5,"Reg",IF(AU67&gt;4,"Bench","Minors")))))</f>
        <v>Minors</v>
      </c>
      <c r="AW67" s="315">
        <f>IF(AND(OR(Q67+T67&gt;12,AND(Q67&gt;6,T67&gt;6)),AL67&gt;6,OR(AM67&gt;=AL67,AM67&gt;6)),1,0)</f>
        <v>0</v>
      </c>
      <c r="AX67" s="316">
        <f>IF(OR(AND(Q67&gt;6,U67&gt;6),Q67+T67&gt;12),1,0)</f>
        <v>0</v>
      </c>
      <c r="AY67" s="316">
        <f>IF(AND(Q67&gt;6,S67&gt;6,T67&gt;6),1,0)</f>
        <v>0</v>
      </c>
      <c r="AZ67" s="316">
        <f>IF(AND(S67&gt;7,OR(Q67&gt;6,T67&gt;6)),1,0)</f>
        <v>0</v>
      </c>
      <c r="BA67" s="316">
        <f>IF(AND(S67&gt;6,OR(Q67&gt;6,T67&gt;6)),1,0)</f>
        <v>0</v>
      </c>
      <c r="BB67" s="316">
        <f>IF(AND(OR(Q67&gt;6,S67&gt;6),OR(Q67&gt;6,T67&gt;6)),1,0)</f>
        <v>0</v>
      </c>
      <c r="BC67" s="316">
        <f>IF(AND(Q67&gt;4,OR(Q67&gt;6,S67&gt;6,T67&gt;6)),1,0)</f>
        <v>0</v>
      </c>
      <c r="BD67" s="316">
        <f>IF(AND(Q67&gt;4,OR(Q67&gt;6,R67&gt;6,S67&gt;6,T67&gt;6)),1,0)</f>
        <v>0</v>
      </c>
      <c r="BE67" s="311">
        <f>IF(AND(Q67&gt;4,MAX(Q67:U67)&gt;6),1,0)</f>
        <v>0</v>
      </c>
      <c r="BF67" s="315">
        <f>IF(AND(OR(V67+Y67&gt;12,AND(V67&gt;6,Y67&gt;6)),AL67&gt;6,OR(AM67&gt;=AL67,AM67&gt;6)),1,0)</f>
        <v>0</v>
      </c>
      <c r="BG67" s="316">
        <f>IF(OR(AND(V67&gt;6,Z67&gt;6),V67+Y67&gt;12),1,0)</f>
        <v>0</v>
      </c>
      <c r="BH67" s="316">
        <f>IF(AND(V67&gt;6,X67&gt;6,Y67&gt;6),1,0)</f>
        <v>0</v>
      </c>
      <c r="BI67" s="316">
        <f>IF(AND(X67&gt;7,OR(V67&gt;6,Y67&gt;6)),1,0)</f>
        <v>0</v>
      </c>
      <c r="BJ67" s="316">
        <f>IF(AND(X67&gt;6,OR(V67&gt;6,Y67&gt;6)),1,0)</f>
        <v>0</v>
      </c>
      <c r="BK67" s="316">
        <f>IF(AND(OR(V67&gt;6,X67&gt;6),OR(V67&gt;6,Y67&gt;6)),1,0)</f>
        <v>0</v>
      </c>
      <c r="BL67" s="316">
        <f>IF(AND(V67&gt;4,OR(V67&gt;6,X67&gt;6,Y67&gt;6)),1,0)</f>
        <v>0</v>
      </c>
      <c r="BM67" s="316">
        <f>IF(AND(V67&gt;4,OR(V67&gt;6,W67&gt;6,X67&gt;6,Y67&gt;6)),1,0)</f>
        <v>0</v>
      </c>
      <c r="BN67" s="311">
        <f>IF(AND(V67&gt;4,MAX(V67:Z67)&gt;6),1,0)</f>
        <v>0</v>
      </c>
      <c r="BO67" s="311">
        <f>IF(AVERAGE(AL67:AM67)&gt;9,1,0)+IF(AVERAGE(AL67:AM67)&gt;7,1,0)+IF(AL67&gt;7,1,0)+IF(AM67&gt;7,1,0)+IF(AN67&gt;8,1,0)+IF(AN67&gt;6,1,0)</f>
        <v>1</v>
      </c>
      <c r="BP67" s="317">
        <f>IF(OR(MAX(AD67,AE67,AI67,AK67)&gt;6,MAX(AF67,AG67,AH67,AJ67)&gt;7),2,IF(MAX(AD67:AK67)&gt;4,1,0))</f>
        <v>2</v>
      </c>
      <c r="BQ67" s="310" t="str">
        <f>IF(AP67=1,"Yes","")</f>
        <v/>
      </c>
      <c r="BR67" s="309" t="str">
        <f>IF($A67="ML","There",IF(AND($V67&gt;=6,AVERAGE($X67:$Y67)&gt;=6),"Likely",IF(OR($V67&gt;6,AND($V67=6,AVERAGE($X67:$Y67)&gt;=3),AND($V67&gt;=5,AVERAGE($X67:$Y67)&gt;=5),AVERAGE($V67,$X67:$Y67)&gt;5),"Possible","Unlikely")))</f>
        <v>Unlikely</v>
      </c>
      <c r="BS67" s="310" t="str">
        <f>IF(OR(AND(Q67&gt;=6,S67+T67&gt;=12),Q67&gt;7),"Start",IF(AND(Q67&gt;=5,S67+T67&gt;=8),"Bench","aack!"))</f>
        <v>aack!</v>
      </c>
      <c r="BT67" s="310" t="str">
        <f>IF(OR(AND(V67&gt;=6,X67+Y67&gt;=12),V67&gt;7),"Start",IF(AND(V67&gt;=5,X67+Y67&gt;=8),"Bench","aack!"))</f>
        <v>aack!</v>
      </c>
      <c r="BU67" s="310" t="str">
        <f>IF(Q67&gt;5,"ML",IF(Q67=5,"AAA",IF(Q67=4,"AA",IF(Q67=3,"A","SS-A"))))</f>
        <v>AA</v>
      </c>
      <c r="BV67" s="310">
        <f>Q67-V67</f>
        <v>0</v>
      </c>
      <c r="BW67" s="310">
        <f>R67-W67</f>
        <v>0</v>
      </c>
      <c r="BX67" s="310">
        <f>S67-X67</f>
        <v>0</v>
      </c>
      <c r="BY67" s="310">
        <f>T67-Y67</f>
        <v>0</v>
      </c>
      <c r="BZ67" s="310">
        <f>U67-Z67</f>
        <v>-1</v>
      </c>
      <c r="CA67" s="310">
        <f>SUM(BV67:BZ67)</f>
        <v>-1</v>
      </c>
      <c r="CB67" s="310">
        <f>V67+X67+Y67</f>
        <v>7</v>
      </c>
      <c r="CC67" s="310">
        <f>V67+X67</f>
        <v>5</v>
      </c>
      <c r="CD67" s="310">
        <f>V67+Y67</f>
        <v>6</v>
      </c>
      <c r="CE67" s="310" t="str">
        <f>IF(J67&gt;24,"Now - Age",IF(Q67&gt;6,"Now",IF(V67&lt;6,"With Dev",MIN(V67-Q67,7-Q67))))</f>
        <v>With Dev</v>
      </c>
      <c r="CF67" s="325" t="str">
        <f t="shared" si="12"/>
        <v/>
      </c>
      <c r="CG67" s="325" t="str">
        <f t="shared" si="5"/>
        <v/>
      </c>
      <c r="CH67" s="325" t="str">
        <f t="shared" si="6"/>
        <v/>
      </c>
      <c r="CI67" s="325" t="str">
        <f t="shared" si="7"/>
        <v/>
      </c>
      <c r="CJ67" s="325" t="str">
        <f t="shared" si="8"/>
        <v/>
      </c>
      <c r="CK67" s="325" t="str">
        <f t="shared" si="9"/>
        <v>X</v>
      </c>
      <c r="CL67" s="325" t="str">
        <f t="shared" si="10"/>
        <v>X</v>
      </c>
      <c r="CM67" s="325" t="str">
        <f t="shared" si="11"/>
        <v/>
      </c>
      <c r="CN67" s="325" t="str">
        <f t="shared" si="4"/>
        <v/>
      </c>
    </row>
    <row r="68" spans="1:92">
      <c r="A68" s="308" t="s">
        <v>327</v>
      </c>
      <c r="B68" s="309" t="s">
        <v>584</v>
      </c>
      <c r="C68" s="310" t="str">
        <f>IF(BH68=1,3,IF(BI68=1,4,IF(BF68=1,1,IF(BJ68=1,5,IF(BG68=1,2,IF(BK68=1,6,IF(BL68=1,7,IF(BM68=1,8,IF(BN68=1,9,"-")))))))))</f>
        <v>-</v>
      </c>
      <c r="D68" s="310" t="str">
        <f>IF(AY68=1,3,IF(AZ68=1,4,IF(AW68=1,1,IF(BA68=1,5,IF(AX68=1,2,IF(BB68=1,6,IF(BC68=1,7,IF(BD68=1,8,IF(BE68=1,9,"-")))))))))</f>
        <v>-</v>
      </c>
      <c r="E68" s="310" t="str">
        <f>IF(OR(OR(O68="Very High",O68="High"),AND(OR(O68="Very High",O68="High",O68="Normal"),OR(P68="Very High",P68="High"))),"K","T")</f>
        <v>T</v>
      </c>
      <c r="F68" s="310" t="s">
        <v>101</v>
      </c>
      <c r="G68" s="310" t="s">
        <v>593</v>
      </c>
      <c r="H68" s="310" t="s">
        <v>383</v>
      </c>
      <c r="I68" s="310" t="s">
        <v>327</v>
      </c>
      <c r="J68" s="310">
        <v>31</v>
      </c>
      <c r="K68" s="310" t="s">
        <v>107</v>
      </c>
      <c r="L68" s="310" t="s">
        <v>107</v>
      </c>
      <c r="M68" s="310" t="s">
        <v>47</v>
      </c>
      <c r="N68" s="311" t="s">
        <v>47</v>
      </c>
      <c r="O68" s="310" t="s">
        <v>232</v>
      </c>
      <c r="P68" s="311" t="s">
        <v>229</v>
      </c>
      <c r="Q68" s="310">
        <v>6</v>
      </c>
      <c r="R68" s="310">
        <v>5</v>
      </c>
      <c r="S68" s="310">
        <v>4</v>
      </c>
      <c r="T68" s="310">
        <v>5</v>
      </c>
      <c r="U68" s="311">
        <v>6</v>
      </c>
      <c r="V68" s="310">
        <v>6</v>
      </c>
      <c r="W68" s="310">
        <v>5</v>
      </c>
      <c r="X68" s="310">
        <v>4</v>
      </c>
      <c r="Y68" s="310">
        <v>5</v>
      </c>
      <c r="Z68" s="311">
        <v>6</v>
      </c>
      <c r="AA68" s="310">
        <v>1</v>
      </c>
      <c r="AB68" s="310">
        <v>6</v>
      </c>
      <c r="AC68" s="310">
        <v>1</v>
      </c>
      <c r="AD68" s="310" t="s">
        <v>41</v>
      </c>
      <c r="AE68" s="310" t="s">
        <v>41</v>
      </c>
      <c r="AF68" s="310" t="s">
        <v>41</v>
      </c>
      <c r="AG68" s="310" t="s">
        <v>41</v>
      </c>
      <c r="AH68" s="310" t="s">
        <v>41</v>
      </c>
      <c r="AI68" s="310">
        <v>8</v>
      </c>
      <c r="AJ68" s="310">
        <v>5</v>
      </c>
      <c r="AK68" s="311">
        <v>8</v>
      </c>
      <c r="AL68" s="310">
        <v>6</v>
      </c>
      <c r="AM68" s="310">
        <v>7</v>
      </c>
      <c r="AN68" s="311">
        <v>9</v>
      </c>
      <c r="AO68" s="312" t="s">
        <v>41</v>
      </c>
      <c r="AP68" s="311" t="s">
        <v>45</v>
      </c>
      <c r="AQ68" s="313">
        <f>AVERAGE(Q68,S68,T68)+IF(OR(Q68&gt;7,AND(Q68&gt;5,T68&gt;5)),0.5,0)+IF(S68&gt;7,0.25,0)+IF(Q68&lt;6,-0.5*(6-Q68),0)</f>
        <v>5</v>
      </c>
      <c r="AR68" s="314" t="str">
        <f>IF(AQ68&gt;9,"SuperStar",IF(AQ68&gt;8,"Star",IF(AQ68&gt;6.5,"GoodReg",IF(AQ68&gt;5,"Reg",IF(AQ68&gt;4,"Bench","Minors")))))</f>
        <v>Bench</v>
      </c>
      <c r="AS68" s="313">
        <f>AVERAGE(V68,X68,Y68)+IF(OR(V68&gt;7,AND(V68&gt;5,Y68&gt;5)),0.5,0)+IF(X68&gt;7,0.25,0)+IF(V68&lt;6,-0.5*(6-V68),0)</f>
        <v>5</v>
      </c>
      <c r="AT68" s="313" t="str">
        <f>IF(AS68&gt;9,"SuperStar",IF(AS68&gt;8,"Star",IF(AS68&gt;6.5,"GoodReg",IF(AS68&gt;5,"Reg",IF(AS68&gt;4,"Bench","Minors")))))</f>
        <v>Bench</v>
      </c>
      <c r="AU68" s="314">
        <f>MIN(AQ68+(MAX(0,25-J68))^1.5,AS68)</f>
        <v>5</v>
      </c>
      <c r="AV68" s="314" t="str">
        <f>IF(AU68&gt;9,"SuperStar",IF(AU68&gt;8,"Star",IF(AU68&gt;6.5,"GoodReg",IF(AU68&gt;5,"Reg",IF(AU68&gt;4,"Bench","Minors")))))</f>
        <v>Bench</v>
      </c>
      <c r="AW68" s="315">
        <f>IF(AND(OR(Q68+T68&gt;12,AND(Q68&gt;6,T68&gt;6)),AL68&gt;6,OR(AM68&gt;=AL68,AM68&gt;6)),1,0)</f>
        <v>0</v>
      </c>
      <c r="AX68" s="316">
        <f>IF(OR(AND(Q68&gt;6,U68&gt;6),Q68+T68&gt;12),1,0)</f>
        <v>0</v>
      </c>
      <c r="AY68" s="316">
        <f>IF(AND(Q68&gt;6,S68&gt;6,T68&gt;6),1,0)</f>
        <v>0</v>
      </c>
      <c r="AZ68" s="316">
        <f>IF(AND(S68&gt;7,OR(Q68&gt;6,T68&gt;6)),1,0)</f>
        <v>0</v>
      </c>
      <c r="BA68" s="316">
        <f>IF(AND(S68&gt;6,OR(Q68&gt;6,T68&gt;6)),1,0)</f>
        <v>0</v>
      </c>
      <c r="BB68" s="316">
        <f>IF(AND(OR(Q68&gt;6,S68&gt;6),OR(Q68&gt;6,T68&gt;6)),1,0)</f>
        <v>0</v>
      </c>
      <c r="BC68" s="316">
        <f>IF(AND(Q68&gt;4,OR(Q68&gt;6,S68&gt;6,T68&gt;6)),1,0)</f>
        <v>0</v>
      </c>
      <c r="BD68" s="316">
        <f>IF(AND(Q68&gt;4,OR(Q68&gt;6,R68&gt;6,S68&gt;6,T68&gt;6)),1,0)</f>
        <v>0</v>
      </c>
      <c r="BE68" s="311">
        <f>IF(AND(Q68&gt;4,MAX(Q68:U68)&gt;6),1,0)</f>
        <v>0</v>
      </c>
      <c r="BF68" s="315">
        <f>IF(AND(OR(V68+Y68&gt;12,AND(V68&gt;6,Y68&gt;6)),AL68&gt;6,OR(AM68&gt;=AL68,AM68&gt;6)),1,0)</f>
        <v>0</v>
      </c>
      <c r="BG68" s="316">
        <f>IF(OR(AND(V68&gt;6,Z68&gt;6),V68+Y68&gt;12),1,0)</f>
        <v>0</v>
      </c>
      <c r="BH68" s="316">
        <f>IF(AND(V68&gt;6,X68&gt;6,Y68&gt;6),1,0)</f>
        <v>0</v>
      </c>
      <c r="BI68" s="316">
        <f>IF(AND(X68&gt;7,OR(V68&gt;6,Y68&gt;6)),1,0)</f>
        <v>0</v>
      </c>
      <c r="BJ68" s="316">
        <f>IF(AND(X68&gt;6,OR(V68&gt;6,Y68&gt;6)),1,0)</f>
        <v>0</v>
      </c>
      <c r="BK68" s="316">
        <f>IF(AND(OR(V68&gt;6,X68&gt;6),OR(V68&gt;6,Y68&gt;6)),1,0)</f>
        <v>0</v>
      </c>
      <c r="BL68" s="316">
        <f>IF(AND(V68&gt;4,OR(V68&gt;6,X68&gt;6,Y68&gt;6)),1,0)</f>
        <v>0</v>
      </c>
      <c r="BM68" s="316">
        <f>IF(AND(V68&gt;4,OR(V68&gt;6,W68&gt;6,X68&gt;6,Y68&gt;6)),1,0)</f>
        <v>0</v>
      </c>
      <c r="BN68" s="311">
        <f>IF(AND(V68&gt;4,MAX(V68:Z68)&gt;6),1,0)</f>
        <v>0</v>
      </c>
      <c r="BO68" s="311">
        <f>IF(AVERAGE(AL68:AM68)&gt;9,1,0)+IF(AVERAGE(AL68:AM68)&gt;7,1,0)+IF(AL68&gt;7,1,0)+IF(AM68&gt;7,1,0)+IF(AN68&gt;8,1,0)+IF(AN68&gt;6,1,0)</f>
        <v>2</v>
      </c>
      <c r="BP68" s="317">
        <f>IF(OR(MAX(AD68,AE68,AI68,AK68)&gt;6,MAX(AF68,AG68,AH68,AJ68)&gt;7),2,IF(MAX(AD68:AK68)&gt;4,1,0))</f>
        <v>2</v>
      </c>
      <c r="BQ68" s="310" t="str">
        <f>IF(AP68=1,"Yes","")</f>
        <v/>
      </c>
      <c r="BR68" s="309" t="str">
        <f>IF($A68="ML","There",IF(AND($V68&gt;=6,AVERAGE($X68:$Y68)&gt;=6),"Likely",IF(OR($V68&gt;6,AND($V68=6,AVERAGE($X68:$Y68)&gt;=3),AND($V68&gt;=5,AVERAGE($X68:$Y68)&gt;=5),AVERAGE($V68,$X68:$Y68)&gt;5),"Possible","Unlikely")))</f>
        <v>Possible</v>
      </c>
      <c r="BS68" s="310" t="str">
        <f>IF(OR(AND(Q68&gt;=6,S68+T68&gt;=12),Q68&gt;7),"Start",IF(AND(Q68&gt;=5,S68+T68&gt;=8),"Bench","aack!"))</f>
        <v>Bench</v>
      </c>
      <c r="BT68" s="310" t="str">
        <f>IF(OR(AND(V68&gt;=6,X68+Y68&gt;=12),V68&gt;7),"Start",IF(AND(V68&gt;=5,X68+Y68&gt;=8),"Bench","aack!"))</f>
        <v>Bench</v>
      </c>
      <c r="BU68" s="310" t="str">
        <f>IF(Q68&gt;5,"ML",IF(Q68=5,"AAA",IF(Q68=4,"AA",IF(Q68=3,"A","SS-A"))))</f>
        <v>ML</v>
      </c>
      <c r="BV68" s="310">
        <f>Q68-V68</f>
        <v>0</v>
      </c>
      <c r="BW68" s="310">
        <f>R68-W68</f>
        <v>0</v>
      </c>
      <c r="BX68" s="310">
        <f>S68-X68</f>
        <v>0</v>
      </c>
      <c r="BY68" s="310">
        <f>T68-Y68</f>
        <v>0</v>
      </c>
      <c r="BZ68" s="310">
        <f>U68-Z68</f>
        <v>0</v>
      </c>
      <c r="CA68" s="310">
        <f>SUM(BV68:BZ68)</f>
        <v>0</v>
      </c>
      <c r="CB68" s="310">
        <f>V68+X68+Y68</f>
        <v>15</v>
      </c>
      <c r="CC68" s="310">
        <f>V68+X68</f>
        <v>10</v>
      </c>
      <c r="CD68" s="310">
        <f>V68+Y68</f>
        <v>11</v>
      </c>
      <c r="CE68" s="310" t="str">
        <f>IF(J68&gt;24,"Now - Age",IF(Q68&gt;6,"Now",IF(V68&lt;6,"With Dev",MIN(V68-Q68,7-Q68))))</f>
        <v>Now - Age</v>
      </c>
      <c r="CF68" s="325" t="str">
        <f t="shared" si="12"/>
        <v/>
      </c>
      <c r="CG68" s="325" t="str">
        <f t="shared" si="5"/>
        <v/>
      </c>
      <c r="CH68" s="325" t="str">
        <f t="shared" si="6"/>
        <v/>
      </c>
      <c r="CI68" s="325" t="str">
        <f t="shared" si="7"/>
        <v/>
      </c>
      <c r="CJ68" s="325" t="str">
        <f t="shared" si="8"/>
        <v/>
      </c>
      <c r="CK68" s="325" t="str">
        <f t="shared" si="9"/>
        <v>X</v>
      </c>
      <c r="CL68" s="325" t="str">
        <f t="shared" si="10"/>
        <v/>
      </c>
      <c r="CM68" s="325" t="str">
        <f t="shared" si="11"/>
        <v/>
      </c>
      <c r="CN68" s="325" t="str">
        <f t="shared" si="4"/>
        <v/>
      </c>
    </row>
    <row r="69" spans="1:92">
      <c r="A69" s="308" t="s">
        <v>327</v>
      </c>
      <c r="B69" s="309" t="s">
        <v>97</v>
      </c>
      <c r="C69" s="310">
        <f>IF(BH69=1,3,IF(BI69=1,4,IF(BF69=1,1,IF(BJ69=1,5,IF(BG69=1,2,IF(BK69=1,6,IF(BL69=1,7,IF(BM69=1,8,IF(BN69=1,9,"-")))))))))</f>
        <v>2</v>
      </c>
      <c r="D69" s="310" t="str">
        <f>IF(AY69=1,3,IF(AZ69=1,4,IF(AW69=1,1,IF(BA69=1,5,IF(AX69=1,2,IF(BB69=1,6,IF(BC69=1,7,IF(BD69=1,8,IF(BE69=1,9,"-")))))))))</f>
        <v>-</v>
      </c>
      <c r="E69" s="310" t="str">
        <f>IF(OR(OR(O69="Very High",O69="High"),AND(OR(O69="Very High",O69="High",O69="Normal"),OR(P69="Very High",P69="High"))),"K","T")</f>
        <v>T</v>
      </c>
      <c r="F69" s="310" t="s">
        <v>97</v>
      </c>
      <c r="G69" s="310" t="s">
        <v>631</v>
      </c>
      <c r="H69" s="310" t="s">
        <v>383</v>
      </c>
      <c r="I69" s="310" t="s">
        <v>327</v>
      </c>
      <c r="J69" s="310">
        <v>21</v>
      </c>
      <c r="K69" s="310" t="s">
        <v>106</v>
      </c>
      <c r="L69" s="310" t="s">
        <v>107</v>
      </c>
      <c r="M69" s="310" t="s">
        <v>47</v>
      </c>
      <c r="N69" s="311" t="s">
        <v>47</v>
      </c>
      <c r="O69" s="310" t="s">
        <v>232</v>
      </c>
      <c r="P69" s="311" t="s">
        <v>230</v>
      </c>
      <c r="Q69" s="310">
        <v>5</v>
      </c>
      <c r="R69" s="310">
        <v>2</v>
      </c>
      <c r="S69" s="310">
        <v>2</v>
      </c>
      <c r="T69" s="310">
        <v>4</v>
      </c>
      <c r="U69" s="311">
        <v>3</v>
      </c>
      <c r="V69" s="310">
        <v>7</v>
      </c>
      <c r="W69" s="310">
        <v>5</v>
      </c>
      <c r="X69" s="310">
        <v>5</v>
      </c>
      <c r="Y69" s="310">
        <v>6</v>
      </c>
      <c r="Z69" s="311">
        <v>6</v>
      </c>
      <c r="AA69" s="310">
        <v>4</v>
      </c>
      <c r="AB69" s="310">
        <v>2</v>
      </c>
      <c r="AC69" s="310">
        <v>1</v>
      </c>
      <c r="AD69" s="310" t="s">
        <v>41</v>
      </c>
      <c r="AE69" s="310">
        <v>7</v>
      </c>
      <c r="AF69" s="310" t="s">
        <v>41</v>
      </c>
      <c r="AG69" s="310" t="s">
        <v>41</v>
      </c>
      <c r="AH69" s="310" t="s">
        <v>41</v>
      </c>
      <c r="AI69" s="310" t="s">
        <v>41</v>
      </c>
      <c r="AJ69" s="310" t="s">
        <v>41</v>
      </c>
      <c r="AK69" s="311" t="s">
        <v>41</v>
      </c>
      <c r="AL69" s="310">
        <v>4</v>
      </c>
      <c r="AM69" s="310">
        <v>3</v>
      </c>
      <c r="AN69" s="311">
        <v>2</v>
      </c>
      <c r="AO69" s="312" t="s">
        <v>41</v>
      </c>
      <c r="AP69" s="311">
        <v>0</v>
      </c>
      <c r="AQ69" s="313">
        <f>AVERAGE(Q69,S69,T69)+IF(OR(Q69&gt;7,AND(Q69&gt;5,T69&gt;5)),0.5,0)+IF(S69&gt;7,0.25,0)+IF(Q69&lt;6,-0.5*(6-Q69),0)</f>
        <v>3.1666666666666665</v>
      </c>
      <c r="AR69" s="314" t="str">
        <f>IF(AQ69&gt;9,"SuperStar",IF(AQ69&gt;8,"Star",IF(AQ69&gt;6.5,"GoodReg",IF(AQ69&gt;5,"Reg",IF(AQ69&gt;4,"Bench","Minors")))))</f>
        <v>Minors</v>
      </c>
      <c r="AS69" s="313">
        <f>AVERAGE(V69,X69,Y69)+IF(OR(V69&gt;7,AND(V69&gt;5,Y69&gt;5)),0.5,0)+IF(X69&gt;7,0.25,0)+IF(V69&lt;6,-0.5*(6-V69),0)</f>
        <v>6.5</v>
      </c>
      <c r="AT69" s="313" t="str">
        <f>IF(AS69&gt;9,"SuperStar",IF(AS69&gt;8,"Star",IF(AS69&gt;6.5,"GoodReg",IF(AS69&gt;5,"Reg",IF(AS69&gt;4,"Bench","Minors")))))</f>
        <v>Reg</v>
      </c>
      <c r="AU69" s="314">
        <f>MIN(AQ69+(MAX(0,25-J69))^1.5,AS69)</f>
        <v>6.5</v>
      </c>
      <c r="AV69" s="314" t="str">
        <f>IF(AU69&gt;9,"SuperStar",IF(AU69&gt;8,"Star",IF(AU69&gt;6.5,"GoodReg",IF(AU69&gt;5,"Reg",IF(AU69&gt;4,"Bench","Minors")))))</f>
        <v>Reg</v>
      </c>
      <c r="AW69" s="315">
        <f>IF(AND(OR(Q69+T69&gt;12,AND(Q69&gt;6,T69&gt;6)),AL69&gt;6,OR(AM69&gt;=AL69,AM69&gt;6)),1,0)</f>
        <v>0</v>
      </c>
      <c r="AX69" s="316">
        <f>IF(OR(AND(Q69&gt;6,U69&gt;6),Q69+T69&gt;12),1,0)</f>
        <v>0</v>
      </c>
      <c r="AY69" s="316">
        <f>IF(AND(Q69&gt;6,S69&gt;6,T69&gt;6),1,0)</f>
        <v>0</v>
      </c>
      <c r="AZ69" s="316">
        <f>IF(AND(S69&gt;7,OR(Q69&gt;6,T69&gt;6)),1,0)</f>
        <v>0</v>
      </c>
      <c r="BA69" s="316">
        <f>IF(AND(S69&gt;6,OR(Q69&gt;6,T69&gt;6)),1,0)</f>
        <v>0</v>
      </c>
      <c r="BB69" s="316">
        <f>IF(AND(OR(Q69&gt;6,S69&gt;6),OR(Q69&gt;6,T69&gt;6)),1,0)</f>
        <v>0</v>
      </c>
      <c r="BC69" s="316">
        <f>IF(AND(Q69&gt;4,OR(Q69&gt;6,S69&gt;6,T69&gt;6)),1,0)</f>
        <v>0</v>
      </c>
      <c r="BD69" s="316">
        <f>IF(AND(Q69&gt;4,OR(Q69&gt;6,R69&gt;6,S69&gt;6,T69&gt;6)),1,0)</f>
        <v>0</v>
      </c>
      <c r="BE69" s="311">
        <f>IF(AND(Q69&gt;4,MAX(Q69:U69)&gt;6),1,0)</f>
        <v>0</v>
      </c>
      <c r="BF69" s="315">
        <f>IF(AND(OR(V69+Y69&gt;12,AND(V69&gt;6,Y69&gt;6)),AL69&gt;6,OR(AM69&gt;=AL69,AM69&gt;6)),1,0)</f>
        <v>0</v>
      </c>
      <c r="BG69" s="316">
        <f>IF(OR(AND(V69&gt;6,Z69&gt;6),V69+Y69&gt;12),1,0)</f>
        <v>1</v>
      </c>
      <c r="BH69" s="316">
        <f>IF(AND(V69&gt;6,X69&gt;6,Y69&gt;6),1,0)</f>
        <v>0</v>
      </c>
      <c r="BI69" s="316">
        <f>IF(AND(X69&gt;7,OR(V69&gt;6,Y69&gt;6)),1,0)</f>
        <v>0</v>
      </c>
      <c r="BJ69" s="316">
        <f>IF(AND(X69&gt;6,OR(V69&gt;6,Y69&gt;6)),1,0)</f>
        <v>0</v>
      </c>
      <c r="BK69" s="316">
        <f>IF(AND(OR(V69&gt;6,X69&gt;6),OR(V69&gt;6,Y69&gt;6)),1,0)</f>
        <v>1</v>
      </c>
      <c r="BL69" s="316">
        <f>IF(AND(V69&gt;4,OR(V69&gt;6,X69&gt;6,Y69&gt;6)),1,0)</f>
        <v>1</v>
      </c>
      <c r="BM69" s="316">
        <f>IF(AND(V69&gt;4,OR(V69&gt;6,W69&gt;6,X69&gt;6,Y69&gt;6)),1,0)</f>
        <v>1</v>
      </c>
      <c r="BN69" s="311">
        <f>IF(AND(V69&gt;4,MAX(V69:Z69)&gt;6),1,0)</f>
        <v>1</v>
      </c>
      <c r="BO69" s="311">
        <f>IF(AVERAGE(AL69:AM69)&gt;9,1,0)+IF(AVERAGE(AL69:AM69)&gt;7,1,0)+IF(AL69&gt;7,1,0)+IF(AM69&gt;7,1,0)+IF(AN69&gt;8,1,0)+IF(AN69&gt;6,1,0)</f>
        <v>0</v>
      </c>
      <c r="BP69" s="317">
        <f>IF(OR(MAX(AD69,AE69,AI69,AK69)&gt;6,MAX(AF69,AG69,AH69,AJ69)&gt;7),2,IF(MAX(AD69:AK69)&gt;4,1,0))</f>
        <v>2</v>
      </c>
      <c r="BQ69" s="310" t="str">
        <f>IF(AP69=1,"Yes","")</f>
        <v/>
      </c>
      <c r="BR69" s="309" t="str">
        <f>IF($A69="ML","There",IF(AND($V69&gt;=6,AVERAGE($X69:$Y69)&gt;=6),"Likely",IF(OR($V69&gt;6,AND($V69=6,AVERAGE($X69:$Y69)&gt;=3),AND($V69&gt;=5,AVERAGE($X69:$Y69)&gt;=5),AVERAGE($V69,$X69:$Y69)&gt;5),"Possible","Unlikely")))</f>
        <v>Possible</v>
      </c>
      <c r="BS69" s="310" t="str">
        <f>IF(OR(AND(Q69&gt;=6,S69+T69&gt;=12),Q69&gt;7),"Start",IF(AND(Q69&gt;=5,S69+T69&gt;=8),"Bench","aack!"))</f>
        <v>aack!</v>
      </c>
      <c r="BT69" s="310" t="str">
        <f>IF(OR(AND(V69&gt;=6,X69+Y69&gt;=12),V69&gt;7),"Start",IF(AND(V69&gt;=5,X69+Y69&gt;=8),"Bench","aack!"))</f>
        <v>Bench</v>
      </c>
      <c r="BU69" s="310" t="str">
        <f>IF(Q69&gt;5,"ML",IF(Q69=5,"AAA",IF(Q69=4,"AA",IF(Q69=3,"A","SS-A"))))</f>
        <v>AAA</v>
      </c>
      <c r="BV69" s="310">
        <f>Q69-V69</f>
        <v>-2</v>
      </c>
      <c r="BW69" s="310">
        <f>R69-W69</f>
        <v>-3</v>
      </c>
      <c r="BX69" s="310">
        <f>S69-X69</f>
        <v>-3</v>
      </c>
      <c r="BY69" s="310">
        <f>T69-Y69</f>
        <v>-2</v>
      </c>
      <c r="BZ69" s="310">
        <f>U69-Z69</f>
        <v>-3</v>
      </c>
      <c r="CA69" s="310">
        <f>SUM(BV69:BZ69)</f>
        <v>-13</v>
      </c>
      <c r="CB69" s="310">
        <f>V69+X69+Y69</f>
        <v>18</v>
      </c>
      <c r="CC69" s="310">
        <f>V69+X69</f>
        <v>12</v>
      </c>
      <c r="CD69" s="310">
        <f>V69+Y69</f>
        <v>13</v>
      </c>
      <c r="CE69" s="310">
        <f>IF(J69&gt;24,"Now - Age",IF(Q69&gt;6,"Now",IF(V69&lt;6,"With Dev",MIN(V69-Q69,7-Q69))))</f>
        <v>2</v>
      </c>
      <c r="CF69" s="325" t="str">
        <f t="shared" si="12"/>
        <v/>
      </c>
      <c r="CG69" s="325" t="str">
        <f t="shared" si="5"/>
        <v>X</v>
      </c>
      <c r="CH69" s="325" t="str">
        <f t="shared" si="6"/>
        <v/>
      </c>
      <c r="CI69" s="325" t="str">
        <f t="shared" si="7"/>
        <v/>
      </c>
      <c r="CJ69" s="325" t="str">
        <f t="shared" si="8"/>
        <v/>
      </c>
      <c r="CK69" s="325" t="str">
        <f t="shared" si="9"/>
        <v/>
      </c>
      <c r="CL69" s="325" t="str">
        <f t="shared" si="10"/>
        <v/>
      </c>
      <c r="CM69" s="325" t="str">
        <f t="shared" si="11"/>
        <v/>
      </c>
      <c r="CN69" s="325" t="str">
        <f t="shared" si="4"/>
        <v/>
      </c>
    </row>
    <row r="70" spans="1:92">
      <c r="A70" s="308" t="s">
        <v>327</v>
      </c>
      <c r="B70" s="309" t="s">
        <v>97</v>
      </c>
      <c r="C70" s="310">
        <f>IF(BH70=1,3,IF(BI70=1,4,IF(BF70=1,1,IF(BJ70=1,5,IF(BG70=1,2,IF(BK70=1,6,IF(BL70=1,7,IF(BM70=1,8,IF(BN70=1,9,"-")))))))))</f>
        <v>5</v>
      </c>
      <c r="D70" s="310" t="str">
        <f>IF(AY70=1,3,IF(AZ70=1,4,IF(AW70=1,1,IF(BA70=1,5,IF(AX70=1,2,IF(BB70=1,6,IF(BC70=1,7,IF(BD70=1,8,IF(BE70=1,9,"-")))))))))</f>
        <v>-</v>
      </c>
      <c r="E70" s="310" t="str">
        <f>IF(OR(OR(O70="Very High",O70="High"),AND(OR(O70="Very High",O70="High",O70="Normal"),OR(P70="Very High",P70="High"))),"K","T")</f>
        <v>T</v>
      </c>
      <c r="F70" s="310" t="s">
        <v>97</v>
      </c>
      <c r="G70" s="310" t="s">
        <v>500</v>
      </c>
      <c r="H70" s="310" t="s">
        <v>383</v>
      </c>
      <c r="I70" s="310" t="s">
        <v>327</v>
      </c>
      <c r="J70" s="310">
        <v>22</v>
      </c>
      <c r="K70" s="310" t="s">
        <v>107</v>
      </c>
      <c r="L70" s="310" t="s">
        <v>107</v>
      </c>
      <c r="M70" s="310" t="s">
        <v>47</v>
      </c>
      <c r="N70" s="311" t="s">
        <v>47</v>
      </c>
      <c r="O70" s="310" t="s">
        <v>232</v>
      </c>
      <c r="P70" s="311" t="s">
        <v>231</v>
      </c>
      <c r="Q70" s="310">
        <v>5</v>
      </c>
      <c r="R70" s="310">
        <v>3</v>
      </c>
      <c r="S70" s="310">
        <v>3</v>
      </c>
      <c r="T70" s="310">
        <v>2</v>
      </c>
      <c r="U70" s="311">
        <v>3</v>
      </c>
      <c r="V70" s="310">
        <v>7</v>
      </c>
      <c r="W70" s="310">
        <v>6</v>
      </c>
      <c r="X70" s="310">
        <v>7</v>
      </c>
      <c r="Y70" s="310">
        <v>4</v>
      </c>
      <c r="Z70" s="311">
        <v>5</v>
      </c>
      <c r="AA70" s="310">
        <v>2</v>
      </c>
      <c r="AB70" s="310">
        <v>3</v>
      </c>
      <c r="AC70" s="310">
        <v>1</v>
      </c>
      <c r="AD70" s="310" t="s">
        <v>41</v>
      </c>
      <c r="AE70" s="310">
        <v>3</v>
      </c>
      <c r="AF70" s="310" t="s">
        <v>41</v>
      </c>
      <c r="AG70" s="310" t="s">
        <v>41</v>
      </c>
      <c r="AH70" s="310" t="s">
        <v>41</v>
      </c>
      <c r="AI70" s="310" t="s">
        <v>41</v>
      </c>
      <c r="AJ70" s="310" t="s">
        <v>41</v>
      </c>
      <c r="AK70" s="311" t="s">
        <v>41</v>
      </c>
      <c r="AL70" s="310">
        <v>2</v>
      </c>
      <c r="AM70" s="310">
        <v>2</v>
      </c>
      <c r="AN70" s="311">
        <v>2</v>
      </c>
      <c r="AO70" s="312" t="s">
        <v>41</v>
      </c>
      <c r="AP70" s="311">
        <v>0</v>
      </c>
      <c r="AQ70" s="313">
        <f>AVERAGE(Q70,S70,T70)+IF(OR(Q70&gt;7,AND(Q70&gt;5,T70&gt;5)),0.5,0)+IF(S70&gt;7,0.25,0)+IF(Q70&lt;6,-0.5*(6-Q70),0)</f>
        <v>2.8333333333333335</v>
      </c>
      <c r="AR70" s="314" t="str">
        <f>IF(AQ70&gt;9,"SuperStar",IF(AQ70&gt;8,"Star",IF(AQ70&gt;6.5,"GoodReg",IF(AQ70&gt;5,"Reg",IF(AQ70&gt;4,"Bench","Minors")))))</f>
        <v>Minors</v>
      </c>
      <c r="AS70" s="313">
        <f>AVERAGE(V70,X70,Y70)+IF(OR(V70&gt;7,AND(V70&gt;5,Y70&gt;5)),0.5,0)+IF(X70&gt;7,0.25,0)+IF(V70&lt;6,-0.5*(6-V70),0)</f>
        <v>6</v>
      </c>
      <c r="AT70" s="313" t="str">
        <f>IF(AS70&gt;9,"SuperStar",IF(AS70&gt;8,"Star",IF(AS70&gt;6.5,"GoodReg",IF(AS70&gt;5,"Reg",IF(AS70&gt;4,"Bench","Minors")))))</f>
        <v>Reg</v>
      </c>
      <c r="AU70" s="314">
        <f>MIN(AQ70+(MAX(0,25-J70))^1.5,AS70)</f>
        <v>6</v>
      </c>
      <c r="AV70" s="314" t="str">
        <f>IF(AU70&gt;9,"SuperStar",IF(AU70&gt;8,"Star",IF(AU70&gt;6.5,"GoodReg",IF(AU70&gt;5,"Reg",IF(AU70&gt;4,"Bench","Minors")))))</f>
        <v>Reg</v>
      </c>
      <c r="AW70" s="315">
        <f>IF(AND(OR(Q70+T70&gt;12,AND(Q70&gt;6,T70&gt;6)),AL70&gt;6,OR(AM70&gt;=AL70,AM70&gt;6)),1,0)</f>
        <v>0</v>
      </c>
      <c r="AX70" s="316">
        <f>IF(OR(AND(Q70&gt;6,U70&gt;6),Q70+T70&gt;12),1,0)</f>
        <v>0</v>
      </c>
      <c r="AY70" s="316">
        <f>IF(AND(Q70&gt;6,S70&gt;6,T70&gt;6),1,0)</f>
        <v>0</v>
      </c>
      <c r="AZ70" s="316">
        <f>IF(AND(S70&gt;7,OR(Q70&gt;6,T70&gt;6)),1,0)</f>
        <v>0</v>
      </c>
      <c r="BA70" s="316">
        <f>IF(AND(S70&gt;6,OR(Q70&gt;6,T70&gt;6)),1,0)</f>
        <v>0</v>
      </c>
      <c r="BB70" s="316">
        <f>IF(AND(OR(Q70&gt;6,S70&gt;6),OR(Q70&gt;6,T70&gt;6)),1,0)</f>
        <v>0</v>
      </c>
      <c r="BC70" s="316">
        <f>IF(AND(Q70&gt;4,OR(Q70&gt;6,S70&gt;6,T70&gt;6)),1,0)</f>
        <v>0</v>
      </c>
      <c r="BD70" s="316">
        <f>IF(AND(Q70&gt;4,OR(Q70&gt;6,R70&gt;6,S70&gt;6,T70&gt;6)),1,0)</f>
        <v>0</v>
      </c>
      <c r="BE70" s="311">
        <f>IF(AND(Q70&gt;4,MAX(Q70:U70)&gt;6),1,0)</f>
        <v>0</v>
      </c>
      <c r="BF70" s="315">
        <f>IF(AND(OR(V70+Y70&gt;12,AND(V70&gt;6,Y70&gt;6)),AL70&gt;6,OR(AM70&gt;=AL70,AM70&gt;6)),1,0)</f>
        <v>0</v>
      </c>
      <c r="BG70" s="316">
        <f>IF(OR(AND(V70&gt;6,Z70&gt;6),V70+Y70&gt;12),1,0)</f>
        <v>0</v>
      </c>
      <c r="BH70" s="316">
        <f>IF(AND(V70&gt;6,X70&gt;6,Y70&gt;6),1,0)</f>
        <v>0</v>
      </c>
      <c r="BI70" s="316">
        <f>IF(AND(X70&gt;7,OR(V70&gt;6,Y70&gt;6)),1,0)</f>
        <v>0</v>
      </c>
      <c r="BJ70" s="316">
        <f>IF(AND(X70&gt;6,OR(V70&gt;6,Y70&gt;6)),1,0)</f>
        <v>1</v>
      </c>
      <c r="BK70" s="316">
        <f>IF(AND(OR(V70&gt;6,X70&gt;6),OR(V70&gt;6,Y70&gt;6)),1,0)</f>
        <v>1</v>
      </c>
      <c r="BL70" s="316">
        <f>IF(AND(V70&gt;4,OR(V70&gt;6,X70&gt;6,Y70&gt;6)),1,0)</f>
        <v>1</v>
      </c>
      <c r="BM70" s="316">
        <f>IF(AND(V70&gt;4,OR(V70&gt;6,W70&gt;6,X70&gt;6,Y70&gt;6)),1,0)</f>
        <v>1</v>
      </c>
      <c r="BN70" s="311">
        <f>IF(AND(V70&gt;4,MAX(V70:Z70)&gt;6),1,0)</f>
        <v>1</v>
      </c>
      <c r="BO70" s="311">
        <f>IF(AVERAGE(AL70:AM70)&gt;9,1,0)+IF(AVERAGE(AL70:AM70)&gt;7,1,0)+IF(AL70&gt;7,1,0)+IF(AM70&gt;7,1,0)+IF(AN70&gt;8,1,0)+IF(AN70&gt;6,1,0)</f>
        <v>0</v>
      </c>
      <c r="BP70" s="317">
        <f>IF(OR(MAX(AD70,AE70,AI70,AK70)&gt;6,MAX(AF70,AG70,AH70,AJ70)&gt;7),2,IF(MAX(AD70:AK70)&gt;4,1,0))</f>
        <v>0</v>
      </c>
      <c r="BQ70" s="310" t="str">
        <f>IF(AP70=1,"Yes","")</f>
        <v/>
      </c>
      <c r="BR70" s="309" t="str">
        <f>IF($A70="ML","There",IF(AND($V70&gt;=6,AVERAGE($X70:$Y70)&gt;=6),"Likely",IF(OR($V70&gt;6,AND($V70=6,AVERAGE($X70:$Y70)&gt;=3),AND($V70&gt;=5,AVERAGE($X70:$Y70)&gt;=5),AVERAGE($V70,$X70:$Y70)&gt;5),"Possible","Unlikely")))</f>
        <v>Possible</v>
      </c>
      <c r="BS70" s="310" t="str">
        <f>IF(OR(AND(Q70&gt;=6,S70+T70&gt;=12),Q70&gt;7),"Start",IF(AND(Q70&gt;=5,S70+T70&gt;=8),"Bench","aack!"))</f>
        <v>aack!</v>
      </c>
      <c r="BT70" s="310" t="str">
        <f>IF(OR(AND(V70&gt;=6,X70+Y70&gt;=12),V70&gt;7),"Start",IF(AND(V70&gt;=5,X70+Y70&gt;=8),"Bench","aack!"))</f>
        <v>Bench</v>
      </c>
      <c r="BU70" s="310" t="str">
        <f>IF(Q70&gt;5,"ML",IF(Q70=5,"AAA",IF(Q70=4,"AA",IF(Q70=3,"A","SS-A"))))</f>
        <v>AAA</v>
      </c>
      <c r="BV70" s="310">
        <f>Q70-V70</f>
        <v>-2</v>
      </c>
      <c r="BW70" s="310">
        <f>R70-W70</f>
        <v>-3</v>
      </c>
      <c r="BX70" s="310">
        <f>S70-X70</f>
        <v>-4</v>
      </c>
      <c r="BY70" s="310">
        <f>T70-Y70</f>
        <v>-2</v>
      </c>
      <c r="BZ70" s="310">
        <f>U70-Z70</f>
        <v>-2</v>
      </c>
      <c r="CA70" s="310">
        <f>SUM(BV70:BZ70)</f>
        <v>-13</v>
      </c>
      <c r="CB70" s="310">
        <f>V70+X70+Y70</f>
        <v>18</v>
      </c>
      <c r="CC70" s="310">
        <f>V70+X70</f>
        <v>14</v>
      </c>
      <c r="CD70" s="310">
        <f>V70+Y70</f>
        <v>11</v>
      </c>
      <c r="CE70" s="310">
        <f>IF(J70&gt;24,"Now - Age",IF(Q70&gt;6,"Now",IF(V70&lt;6,"With Dev",MIN(V70-Q70,7-Q70))))</f>
        <v>2</v>
      </c>
      <c r="CF70" s="325" t="str">
        <f t="shared" si="12"/>
        <v/>
      </c>
      <c r="CG70" s="325" t="str">
        <f t="shared" si="5"/>
        <v/>
      </c>
      <c r="CH70" s="325" t="str">
        <f t="shared" si="6"/>
        <v/>
      </c>
      <c r="CI70" s="325" t="str">
        <f t="shared" si="7"/>
        <v/>
      </c>
      <c r="CJ70" s="325" t="str">
        <f t="shared" si="8"/>
        <v/>
      </c>
      <c r="CK70" s="325" t="str">
        <f t="shared" si="9"/>
        <v/>
      </c>
      <c r="CL70" s="325" t="str">
        <f t="shared" si="10"/>
        <v/>
      </c>
      <c r="CM70" s="325" t="str">
        <f t="shared" si="11"/>
        <v/>
      </c>
      <c r="CN70" s="325" t="str">
        <f t="shared" si="4"/>
        <v>X</v>
      </c>
    </row>
    <row r="71" spans="1:92">
      <c r="A71" s="308" t="s">
        <v>327</v>
      </c>
      <c r="B71" s="309" t="s">
        <v>582</v>
      </c>
      <c r="C71" s="310" t="str">
        <f>IF(BH71=1,3,IF(BI71=1,4,IF(BF71=1,1,IF(BJ71=1,5,IF(BG71=1,2,IF(BK71=1,6,IF(BL71=1,7,IF(BM71=1,8,IF(BN71=1,9,"-")))))))))</f>
        <v>-</v>
      </c>
      <c r="D71" s="310" t="str">
        <f>IF(AY71=1,3,IF(AZ71=1,4,IF(AW71=1,1,IF(BA71=1,5,IF(AX71=1,2,IF(BB71=1,6,IF(BC71=1,7,IF(BD71=1,8,IF(BE71=1,9,"-")))))))))</f>
        <v>-</v>
      </c>
      <c r="E71" s="310" t="str">
        <f>IF(OR(OR(O71="Very High",O71="High"),AND(OR(O71="Very High",O71="High",O71="Normal"),OR(P71="Very High",P71="High"))),"K","T")</f>
        <v>K</v>
      </c>
      <c r="F71" s="310" t="s">
        <v>97</v>
      </c>
      <c r="G71" s="310" t="s">
        <v>240</v>
      </c>
      <c r="H71" s="310" t="s">
        <v>383</v>
      </c>
      <c r="I71" s="310" t="s">
        <v>327</v>
      </c>
      <c r="J71" s="310">
        <v>23</v>
      </c>
      <c r="K71" s="310" t="s">
        <v>107</v>
      </c>
      <c r="L71" s="310" t="s">
        <v>107</v>
      </c>
      <c r="M71" s="310" t="s">
        <v>47</v>
      </c>
      <c r="N71" s="311" t="s">
        <v>47</v>
      </c>
      <c r="O71" s="310" t="s">
        <v>229</v>
      </c>
      <c r="P71" s="311" t="s">
        <v>229</v>
      </c>
      <c r="Q71" s="310">
        <v>5</v>
      </c>
      <c r="R71" s="310">
        <v>6</v>
      </c>
      <c r="S71" s="310">
        <v>1</v>
      </c>
      <c r="T71" s="310">
        <v>4</v>
      </c>
      <c r="U71" s="311">
        <v>3</v>
      </c>
      <c r="V71" s="310">
        <v>6</v>
      </c>
      <c r="W71" s="310">
        <v>6</v>
      </c>
      <c r="X71" s="310">
        <v>2</v>
      </c>
      <c r="Y71" s="310">
        <v>5</v>
      </c>
      <c r="Z71" s="311">
        <v>4</v>
      </c>
      <c r="AA71" s="310">
        <v>4</v>
      </c>
      <c r="AB71" s="310">
        <v>3</v>
      </c>
      <c r="AC71" s="310">
        <v>1</v>
      </c>
      <c r="AD71" s="310" t="s">
        <v>41</v>
      </c>
      <c r="AE71" s="310">
        <v>6</v>
      </c>
      <c r="AF71" s="310">
        <v>2</v>
      </c>
      <c r="AG71" s="310">
        <v>1</v>
      </c>
      <c r="AH71" s="310">
        <v>1</v>
      </c>
      <c r="AI71" s="310">
        <v>1</v>
      </c>
      <c r="AJ71" s="310">
        <v>1</v>
      </c>
      <c r="AK71" s="311" t="s">
        <v>41</v>
      </c>
      <c r="AL71" s="310">
        <v>2</v>
      </c>
      <c r="AM71" s="310">
        <v>5</v>
      </c>
      <c r="AN71" s="311">
        <v>4</v>
      </c>
      <c r="AO71" s="312" t="s">
        <v>41</v>
      </c>
      <c r="AP71" s="311">
        <v>0</v>
      </c>
      <c r="AQ71" s="313">
        <f>AVERAGE(Q71,S71,T71)+IF(OR(Q71&gt;7,AND(Q71&gt;5,T71&gt;5)),0.5,0)+IF(S71&gt;7,0.25,0)+IF(Q71&lt;6,-0.5*(6-Q71),0)</f>
        <v>2.8333333333333335</v>
      </c>
      <c r="AR71" s="314" t="str">
        <f>IF(AQ71&gt;9,"SuperStar",IF(AQ71&gt;8,"Star",IF(AQ71&gt;6.5,"GoodReg",IF(AQ71&gt;5,"Reg",IF(AQ71&gt;4,"Bench","Minors")))))</f>
        <v>Minors</v>
      </c>
      <c r="AS71" s="313">
        <f>AVERAGE(V71,X71,Y71)+IF(OR(V71&gt;7,AND(V71&gt;5,Y71&gt;5)),0.5,0)+IF(X71&gt;7,0.25,0)+IF(V71&lt;6,-0.5*(6-V71),0)</f>
        <v>4.333333333333333</v>
      </c>
      <c r="AT71" s="313" t="str">
        <f>IF(AS71&gt;9,"SuperStar",IF(AS71&gt;8,"Star",IF(AS71&gt;6.5,"GoodReg",IF(AS71&gt;5,"Reg",IF(AS71&gt;4,"Bench","Minors")))))</f>
        <v>Bench</v>
      </c>
      <c r="AU71" s="314">
        <f>MIN(AQ71+(MAX(0,25-J71))^1.5,AS71)</f>
        <v>4.333333333333333</v>
      </c>
      <c r="AV71" s="314" t="str">
        <f>IF(AU71&gt;9,"SuperStar",IF(AU71&gt;8,"Star",IF(AU71&gt;6.5,"GoodReg",IF(AU71&gt;5,"Reg",IF(AU71&gt;4,"Bench","Minors")))))</f>
        <v>Bench</v>
      </c>
      <c r="AW71" s="315">
        <f>IF(AND(OR(Q71+T71&gt;12,AND(Q71&gt;6,T71&gt;6)),AL71&gt;6,OR(AM71&gt;=AL71,AM71&gt;6)),1,0)</f>
        <v>0</v>
      </c>
      <c r="AX71" s="316">
        <f>IF(OR(AND(Q71&gt;6,U71&gt;6),Q71+T71&gt;12),1,0)</f>
        <v>0</v>
      </c>
      <c r="AY71" s="316">
        <f>IF(AND(Q71&gt;6,S71&gt;6,T71&gt;6),1,0)</f>
        <v>0</v>
      </c>
      <c r="AZ71" s="316">
        <f>IF(AND(S71&gt;7,OR(Q71&gt;6,T71&gt;6)),1,0)</f>
        <v>0</v>
      </c>
      <c r="BA71" s="316">
        <f>IF(AND(S71&gt;6,OR(Q71&gt;6,T71&gt;6)),1,0)</f>
        <v>0</v>
      </c>
      <c r="BB71" s="316">
        <f>IF(AND(OR(Q71&gt;6,S71&gt;6),OR(Q71&gt;6,T71&gt;6)),1,0)</f>
        <v>0</v>
      </c>
      <c r="BC71" s="316">
        <f>IF(AND(Q71&gt;4,OR(Q71&gt;6,S71&gt;6,T71&gt;6)),1,0)</f>
        <v>0</v>
      </c>
      <c r="BD71" s="316">
        <f>IF(AND(Q71&gt;4,OR(Q71&gt;6,R71&gt;6,S71&gt;6,T71&gt;6)),1,0)</f>
        <v>0</v>
      </c>
      <c r="BE71" s="311">
        <f>IF(AND(Q71&gt;4,MAX(Q71:U71)&gt;6),1,0)</f>
        <v>0</v>
      </c>
      <c r="BF71" s="315">
        <f>IF(AND(OR(V71+Y71&gt;12,AND(V71&gt;6,Y71&gt;6)),AL71&gt;6,OR(AM71&gt;=AL71,AM71&gt;6)),1,0)</f>
        <v>0</v>
      </c>
      <c r="BG71" s="316">
        <f>IF(OR(AND(V71&gt;6,Z71&gt;6),V71+Y71&gt;12),1,0)</f>
        <v>0</v>
      </c>
      <c r="BH71" s="316">
        <f>IF(AND(V71&gt;6,X71&gt;6,Y71&gt;6),1,0)</f>
        <v>0</v>
      </c>
      <c r="BI71" s="316">
        <f>IF(AND(X71&gt;7,OR(V71&gt;6,Y71&gt;6)),1,0)</f>
        <v>0</v>
      </c>
      <c r="BJ71" s="316">
        <f>IF(AND(X71&gt;6,OR(V71&gt;6,Y71&gt;6)),1,0)</f>
        <v>0</v>
      </c>
      <c r="BK71" s="316">
        <f>IF(AND(OR(V71&gt;6,X71&gt;6),OR(V71&gt;6,Y71&gt;6)),1,0)</f>
        <v>0</v>
      </c>
      <c r="BL71" s="316">
        <f>IF(AND(V71&gt;4,OR(V71&gt;6,X71&gt;6,Y71&gt;6)),1,0)</f>
        <v>0</v>
      </c>
      <c r="BM71" s="316">
        <f>IF(AND(V71&gt;4,OR(V71&gt;6,W71&gt;6,X71&gt;6,Y71&gt;6)),1,0)</f>
        <v>0</v>
      </c>
      <c r="BN71" s="311">
        <f>IF(AND(V71&gt;4,MAX(V71:Z71)&gt;6),1,0)</f>
        <v>0</v>
      </c>
      <c r="BO71" s="311">
        <f>IF(AVERAGE(AL71:AM71)&gt;9,1,0)+IF(AVERAGE(AL71:AM71)&gt;7,1,0)+IF(AL71&gt;7,1,0)+IF(AM71&gt;7,1,0)+IF(AN71&gt;8,1,0)+IF(AN71&gt;6,1,0)</f>
        <v>0</v>
      </c>
      <c r="BP71" s="317">
        <f>IF(OR(MAX(AD71,AE71,AI71,AK71)&gt;6,MAX(AF71,AG71,AH71,AJ71)&gt;7),2,IF(MAX(AD71:AK71)&gt;4,1,0))</f>
        <v>1</v>
      </c>
      <c r="BQ71" s="310" t="str">
        <f>IF(AP71=1,"Yes","")</f>
        <v/>
      </c>
      <c r="BR71" s="309" t="str">
        <f>IF($A71="ML","There",IF(AND($V71&gt;=6,AVERAGE($X71:$Y71)&gt;=6),"Likely",IF(OR($V71&gt;6,AND($V71=6,AVERAGE($X71:$Y71)&gt;=3),AND($V71&gt;=5,AVERAGE($X71:$Y71)&gt;=5),AVERAGE($V71,$X71:$Y71)&gt;5),"Possible","Unlikely")))</f>
        <v>Possible</v>
      </c>
      <c r="BS71" s="310" t="str">
        <f>IF(OR(AND(Q71&gt;=6,S71+T71&gt;=12),Q71&gt;7),"Start",IF(AND(Q71&gt;=5,S71+T71&gt;=8),"Bench","aack!"))</f>
        <v>aack!</v>
      </c>
      <c r="BT71" s="310" t="str">
        <f>IF(OR(AND(V71&gt;=6,X71+Y71&gt;=12),V71&gt;7),"Start",IF(AND(V71&gt;=5,X71+Y71&gt;=8),"Bench","aack!"))</f>
        <v>aack!</v>
      </c>
      <c r="BU71" s="310" t="str">
        <f>IF(Q71&gt;5,"ML",IF(Q71=5,"AAA",IF(Q71=4,"AA",IF(Q71=3,"A","SS-A"))))</f>
        <v>AAA</v>
      </c>
      <c r="BV71" s="310">
        <f>Q71-V71</f>
        <v>-1</v>
      </c>
      <c r="BW71" s="310">
        <f>R71-W71</f>
        <v>0</v>
      </c>
      <c r="BX71" s="310">
        <f>S71-X71</f>
        <v>-1</v>
      </c>
      <c r="BY71" s="310">
        <f>T71-Y71</f>
        <v>-1</v>
      </c>
      <c r="BZ71" s="310">
        <f>U71-Z71</f>
        <v>-1</v>
      </c>
      <c r="CA71" s="310">
        <f>SUM(BV71:BZ71)</f>
        <v>-4</v>
      </c>
      <c r="CB71" s="310">
        <f>V71+X71+Y71</f>
        <v>13</v>
      </c>
      <c r="CC71" s="310">
        <f>V71+X71</f>
        <v>8</v>
      </c>
      <c r="CD71" s="310">
        <f>V71+Y71</f>
        <v>11</v>
      </c>
      <c r="CE71" s="310">
        <f>IF(J71&gt;24,"Now - Age",IF(Q71&gt;6,"Now",IF(V71&lt;6,"With Dev",MIN(V71-Q71,7-Q71))))</f>
        <v>1</v>
      </c>
      <c r="CF71" s="325" t="str">
        <f t="shared" si="12"/>
        <v/>
      </c>
      <c r="CG71" s="325" t="str">
        <f t="shared" si="5"/>
        <v>X</v>
      </c>
      <c r="CH71" s="325" t="str">
        <f t="shared" si="6"/>
        <v/>
      </c>
      <c r="CI71" s="325" t="str">
        <f t="shared" si="7"/>
        <v/>
      </c>
      <c r="CJ71" s="325" t="str">
        <f t="shared" si="8"/>
        <v/>
      </c>
      <c r="CK71" s="325" t="str">
        <f t="shared" si="9"/>
        <v/>
      </c>
      <c r="CL71" s="325" t="str">
        <f t="shared" si="10"/>
        <v/>
      </c>
      <c r="CM71" s="325" t="str">
        <f t="shared" si="11"/>
        <v/>
      </c>
      <c r="CN71" s="325" t="str">
        <f t="shared" si="4"/>
        <v/>
      </c>
    </row>
    <row r="72" spans="1:92">
      <c r="A72" s="308" t="s">
        <v>327</v>
      </c>
      <c r="B72" s="309" t="s">
        <v>582</v>
      </c>
      <c r="C72" s="310" t="str">
        <f>IF(BH72=1,3,IF(BI72=1,4,IF(BF72=1,1,IF(BJ72=1,5,IF(BG72=1,2,IF(BK72=1,6,IF(BL72=1,7,IF(BM72=1,8,IF(BN72=1,9,"-")))))))))</f>
        <v>-</v>
      </c>
      <c r="D72" s="310" t="str">
        <f>IF(AY72=1,3,IF(AZ72=1,4,IF(AW72=1,1,IF(BA72=1,5,IF(AX72=1,2,IF(BB72=1,6,IF(BC72=1,7,IF(BD72=1,8,IF(BE72=1,9,"-")))))))))</f>
        <v>-</v>
      </c>
      <c r="E72" s="310" t="str">
        <f>IF(OR(OR(O72="Very High",O72="High"),AND(OR(O72="Very High",O72="High",O72="Normal"),OR(P72="Very High",P72="High"))),"K","T")</f>
        <v>T</v>
      </c>
      <c r="F72" s="310" t="s">
        <v>98</v>
      </c>
      <c r="G72" s="310" t="s">
        <v>468</v>
      </c>
      <c r="H72" s="310" t="s">
        <v>383</v>
      </c>
      <c r="I72" s="310" t="s">
        <v>327</v>
      </c>
      <c r="J72" s="310">
        <v>18</v>
      </c>
      <c r="K72" s="310" t="s">
        <v>109</v>
      </c>
      <c r="L72" s="310" t="s">
        <v>107</v>
      </c>
      <c r="M72" s="310" t="s">
        <v>47</v>
      </c>
      <c r="N72" s="311" t="s">
        <v>47</v>
      </c>
      <c r="O72" s="310" t="s">
        <v>231</v>
      </c>
      <c r="P72" s="311" t="s">
        <v>230</v>
      </c>
      <c r="Q72" s="310">
        <v>5</v>
      </c>
      <c r="R72" s="310">
        <v>4</v>
      </c>
      <c r="S72" s="310">
        <v>2</v>
      </c>
      <c r="T72" s="310">
        <v>2</v>
      </c>
      <c r="U72" s="311">
        <v>4</v>
      </c>
      <c r="V72" s="310">
        <v>5</v>
      </c>
      <c r="W72" s="310">
        <v>4</v>
      </c>
      <c r="X72" s="310">
        <v>3</v>
      </c>
      <c r="Y72" s="310">
        <v>3</v>
      </c>
      <c r="Z72" s="311">
        <v>4</v>
      </c>
      <c r="AA72" s="310">
        <v>4</v>
      </c>
      <c r="AB72" s="310">
        <v>2</v>
      </c>
      <c r="AC72" s="310">
        <v>1</v>
      </c>
      <c r="AD72" s="310" t="s">
        <v>41</v>
      </c>
      <c r="AE72" s="310" t="s">
        <v>41</v>
      </c>
      <c r="AF72" s="310">
        <v>2</v>
      </c>
      <c r="AG72" s="310">
        <v>1</v>
      </c>
      <c r="AH72" s="310">
        <v>1</v>
      </c>
      <c r="AI72" s="310" t="s">
        <v>41</v>
      </c>
      <c r="AJ72" s="310" t="s">
        <v>41</v>
      </c>
      <c r="AK72" s="311" t="s">
        <v>41</v>
      </c>
      <c r="AL72" s="310">
        <v>8</v>
      </c>
      <c r="AM72" s="310">
        <v>10</v>
      </c>
      <c r="AN72" s="311">
        <v>10</v>
      </c>
      <c r="AO72" s="312" t="s">
        <v>41</v>
      </c>
      <c r="AP72" s="311" t="s">
        <v>45</v>
      </c>
      <c r="AQ72" s="313">
        <f>AVERAGE(Q72,S72,T72)+IF(OR(Q72&gt;7,AND(Q72&gt;5,T72&gt;5)),0.5,0)+IF(S72&gt;7,0.25,0)+IF(Q72&lt;6,-0.5*(6-Q72),0)</f>
        <v>2.5</v>
      </c>
      <c r="AR72" s="314" t="str">
        <f>IF(AQ72&gt;9,"SuperStar",IF(AQ72&gt;8,"Star",IF(AQ72&gt;6.5,"GoodReg",IF(AQ72&gt;5,"Reg",IF(AQ72&gt;4,"Bench","Minors")))))</f>
        <v>Minors</v>
      </c>
      <c r="AS72" s="313">
        <f>AVERAGE(V72,X72,Y72)+IF(OR(V72&gt;7,AND(V72&gt;5,Y72&gt;5)),0.5,0)+IF(X72&gt;7,0.25,0)+IF(V72&lt;6,-0.5*(6-V72),0)</f>
        <v>3.1666666666666665</v>
      </c>
      <c r="AT72" s="313" t="str">
        <f>IF(AS72&gt;9,"SuperStar",IF(AS72&gt;8,"Star",IF(AS72&gt;6.5,"GoodReg",IF(AS72&gt;5,"Reg",IF(AS72&gt;4,"Bench","Minors")))))</f>
        <v>Minors</v>
      </c>
      <c r="AU72" s="314">
        <f>MIN(AQ72+(MAX(0,25-J72))^1.5,AS72)</f>
        <v>3.1666666666666665</v>
      </c>
      <c r="AV72" s="314" t="str">
        <f>IF(AU72&gt;9,"SuperStar",IF(AU72&gt;8,"Star",IF(AU72&gt;6.5,"GoodReg",IF(AU72&gt;5,"Reg",IF(AU72&gt;4,"Bench","Minors")))))</f>
        <v>Minors</v>
      </c>
      <c r="AW72" s="315">
        <f>IF(AND(OR(Q72+T72&gt;12,AND(Q72&gt;6,T72&gt;6)),AL72&gt;6,OR(AM72&gt;=AL72,AM72&gt;6)),1,0)</f>
        <v>0</v>
      </c>
      <c r="AX72" s="316">
        <f>IF(OR(AND(Q72&gt;6,U72&gt;6),Q72+T72&gt;12),1,0)</f>
        <v>0</v>
      </c>
      <c r="AY72" s="316">
        <f>IF(AND(Q72&gt;6,S72&gt;6,T72&gt;6),1,0)</f>
        <v>0</v>
      </c>
      <c r="AZ72" s="316">
        <f>IF(AND(S72&gt;7,OR(Q72&gt;6,T72&gt;6)),1,0)</f>
        <v>0</v>
      </c>
      <c r="BA72" s="316">
        <f>IF(AND(S72&gt;6,OR(Q72&gt;6,T72&gt;6)),1,0)</f>
        <v>0</v>
      </c>
      <c r="BB72" s="316">
        <f>IF(AND(OR(Q72&gt;6,S72&gt;6),OR(Q72&gt;6,T72&gt;6)),1,0)</f>
        <v>0</v>
      </c>
      <c r="BC72" s="316">
        <f>IF(AND(Q72&gt;4,OR(Q72&gt;6,S72&gt;6,T72&gt;6)),1,0)</f>
        <v>0</v>
      </c>
      <c r="BD72" s="316">
        <f>IF(AND(Q72&gt;4,OR(Q72&gt;6,R72&gt;6,S72&gt;6,T72&gt;6)),1,0)</f>
        <v>0</v>
      </c>
      <c r="BE72" s="311">
        <f>IF(AND(Q72&gt;4,MAX(Q72:U72)&gt;6),1,0)</f>
        <v>0</v>
      </c>
      <c r="BF72" s="315">
        <f>IF(AND(OR(V72+Y72&gt;12,AND(V72&gt;6,Y72&gt;6)),AL72&gt;6,OR(AM72&gt;=AL72,AM72&gt;6)),1,0)</f>
        <v>0</v>
      </c>
      <c r="BG72" s="316">
        <f>IF(OR(AND(V72&gt;6,Z72&gt;6),V72+Y72&gt;12),1,0)</f>
        <v>0</v>
      </c>
      <c r="BH72" s="316">
        <f>IF(AND(V72&gt;6,X72&gt;6,Y72&gt;6),1,0)</f>
        <v>0</v>
      </c>
      <c r="BI72" s="316">
        <f>IF(AND(X72&gt;7,OR(V72&gt;6,Y72&gt;6)),1,0)</f>
        <v>0</v>
      </c>
      <c r="BJ72" s="316">
        <f>IF(AND(X72&gt;6,OR(V72&gt;6,Y72&gt;6)),1,0)</f>
        <v>0</v>
      </c>
      <c r="BK72" s="316">
        <f>IF(AND(OR(V72&gt;6,X72&gt;6),OR(V72&gt;6,Y72&gt;6)),1,0)</f>
        <v>0</v>
      </c>
      <c r="BL72" s="316">
        <f>IF(AND(V72&gt;4,OR(V72&gt;6,X72&gt;6,Y72&gt;6)),1,0)</f>
        <v>0</v>
      </c>
      <c r="BM72" s="316">
        <f>IF(AND(V72&gt;4,OR(V72&gt;6,W72&gt;6,X72&gt;6,Y72&gt;6)),1,0)</f>
        <v>0</v>
      </c>
      <c r="BN72" s="311">
        <f>IF(AND(V72&gt;4,MAX(V72:Z72)&gt;6),1,0)</f>
        <v>0</v>
      </c>
      <c r="BO72" s="311">
        <f>IF(AVERAGE(AL72:AM72)&gt;9,1,0)+IF(AVERAGE(AL72:AM72)&gt;7,1,0)+IF(AL72&gt;7,1,0)+IF(AM72&gt;7,1,0)+IF(AN72&gt;8,1,0)+IF(AN72&gt;6,1,0)</f>
        <v>5</v>
      </c>
      <c r="BP72" s="317">
        <f>IF(OR(MAX(AD72,AE72,AI72,AK72)&gt;6,MAX(AF72,AG72,AH72,AJ72)&gt;7),2,IF(MAX(AD72:AK72)&gt;4,1,0))</f>
        <v>0</v>
      </c>
      <c r="BQ72" s="310" t="str">
        <f>IF(AP72=1,"Yes","")</f>
        <v/>
      </c>
      <c r="BR72" s="309" t="str">
        <f>IF($A72="ML","There",IF(AND($V72&gt;=6,AVERAGE($X72:$Y72)&gt;=6),"Likely",IF(OR($V72&gt;6,AND($V72=6,AVERAGE($X72:$Y72)&gt;=3),AND($V72&gt;=5,AVERAGE($X72:$Y72)&gt;=5),AVERAGE($V72,$X72:$Y72)&gt;5),"Possible","Unlikely")))</f>
        <v>Unlikely</v>
      </c>
      <c r="BS72" s="310" t="str">
        <f>IF(OR(AND(Q72&gt;=6,S72+T72&gt;=12),Q72&gt;7),"Start",IF(AND(Q72&gt;=5,S72+T72&gt;=8),"Bench","aack!"))</f>
        <v>aack!</v>
      </c>
      <c r="BT72" s="310" t="str">
        <f>IF(OR(AND(V72&gt;=6,X72+Y72&gt;=12),V72&gt;7),"Start",IF(AND(V72&gt;=5,X72+Y72&gt;=8),"Bench","aack!"))</f>
        <v>aack!</v>
      </c>
      <c r="BU72" s="310" t="str">
        <f>IF(Q72&gt;5,"ML",IF(Q72=5,"AAA",IF(Q72=4,"AA",IF(Q72=3,"A","SS-A"))))</f>
        <v>AAA</v>
      </c>
      <c r="BV72" s="310">
        <f>Q72-V72</f>
        <v>0</v>
      </c>
      <c r="BW72" s="310">
        <f>R72-W72</f>
        <v>0</v>
      </c>
      <c r="BX72" s="310">
        <f>S72-X72</f>
        <v>-1</v>
      </c>
      <c r="BY72" s="310">
        <f>T72-Y72</f>
        <v>-1</v>
      </c>
      <c r="BZ72" s="310">
        <f>U72-Z72</f>
        <v>0</v>
      </c>
      <c r="CA72" s="310">
        <f>SUM(BV72:BZ72)</f>
        <v>-2</v>
      </c>
      <c r="CB72" s="310">
        <f>V72+X72+Y72</f>
        <v>11</v>
      </c>
      <c r="CC72" s="310">
        <f>V72+X72</f>
        <v>8</v>
      </c>
      <c r="CD72" s="310">
        <f>V72+Y72</f>
        <v>8</v>
      </c>
      <c r="CE72" s="310" t="str">
        <f>IF(J72&gt;24,"Now - Age",IF(Q72&gt;6,"Now",IF(V72&lt;6,"With Dev",MIN(V72-Q72,7-Q72))))</f>
        <v>With Dev</v>
      </c>
      <c r="CF72" s="325" t="str">
        <f t="shared" si="12"/>
        <v/>
      </c>
      <c r="CG72" s="325" t="str">
        <f t="shared" si="5"/>
        <v/>
      </c>
      <c r="CH72" s="325" t="str">
        <f t="shared" si="6"/>
        <v/>
      </c>
      <c r="CI72" s="325" t="str">
        <f t="shared" si="7"/>
        <v/>
      </c>
      <c r="CJ72" s="325" t="str">
        <f t="shared" si="8"/>
        <v/>
      </c>
      <c r="CK72" s="325" t="str">
        <f t="shared" si="9"/>
        <v/>
      </c>
      <c r="CL72" s="325" t="str">
        <f t="shared" si="10"/>
        <v/>
      </c>
      <c r="CM72" s="325" t="str">
        <f t="shared" si="11"/>
        <v/>
      </c>
      <c r="CN72" s="325" t="str">
        <f t="shared" si="4"/>
        <v>X</v>
      </c>
    </row>
    <row r="73" spans="1:92">
      <c r="A73" s="308" t="s">
        <v>327</v>
      </c>
      <c r="B73" s="309" t="s">
        <v>95</v>
      </c>
      <c r="C73" s="310" t="str">
        <f>IF(BH73=1,3,IF(BI73=1,4,IF(BF73=1,1,IF(BJ73=1,5,IF(BG73=1,2,IF(BK73=1,6,IF(BL73=1,7,IF(BM73=1,8,IF(BN73=1,9,"-")))))))))</f>
        <v>-</v>
      </c>
      <c r="D73" s="310" t="str">
        <f>IF(AY73=1,3,IF(AZ73=1,4,IF(AW73=1,1,IF(BA73=1,5,IF(AX73=1,2,IF(BB73=1,6,IF(BC73=1,7,IF(BD73=1,8,IF(BE73=1,9,"-")))))))))</f>
        <v>-</v>
      </c>
      <c r="E73" s="310" t="str">
        <f>IF(OR(OR(O73="Very High",O73="High"),AND(OR(O73="Very High",O73="High",O73="Normal"),OR(P73="Very High",P73="High"))),"K","T")</f>
        <v>K</v>
      </c>
      <c r="F73" s="310" t="s">
        <v>95</v>
      </c>
      <c r="G73" s="310" t="s">
        <v>417</v>
      </c>
      <c r="H73" s="310" t="s">
        <v>383</v>
      </c>
      <c r="I73" s="310" t="s">
        <v>327</v>
      </c>
      <c r="J73" s="310">
        <v>20</v>
      </c>
      <c r="K73" s="310" t="s">
        <v>107</v>
      </c>
      <c r="L73" s="310" t="s">
        <v>107</v>
      </c>
      <c r="M73" s="310" t="s">
        <v>47</v>
      </c>
      <c r="N73" s="311" t="s">
        <v>47</v>
      </c>
      <c r="O73" s="310" t="s">
        <v>229</v>
      </c>
      <c r="P73" s="311" t="s">
        <v>231</v>
      </c>
      <c r="Q73" s="310">
        <v>4</v>
      </c>
      <c r="R73" s="310">
        <v>3</v>
      </c>
      <c r="S73" s="310">
        <v>3</v>
      </c>
      <c r="T73" s="310">
        <v>3</v>
      </c>
      <c r="U73" s="311">
        <v>4</v>
      </c>
      <c r="V73" s="310">
        <v>4</v>
      </c>
      <c r="W73" s="310">
        <v>4</v>
      </c>
      <c r="X73" s="310">
        <v>6</v>
      </c>
      <c r="Y73" s="310">
        <v>4</v>
      </c>
      <c r="Z73" s="311">
        <v>5</v>
      </c>
      <c r="AA73" s="310">
        <v>5</v>
      </c>
      <c r="AB73" s="310">
        <v>5</v>
      </c>
      <c r="AC73" s="310">
        <v>6</v>
      </c>
      <c r="AD73" s="310">
        <v>4</v>
      </c>
      <c r="AE73" s="310" t="s">
        <v>41</v>
      </c>
      <c r="AF73" s="310" t="s">
        <v>41</v>
      </c>
      <c r="AG73" s="310" t="s">
        <v>41</v>
      </c>
      <c r="AH73" s="310" t="s">
        <v>41</v>
      </c>
      <c r="AI73" s="310" t="s">
        <v>41</v>
      </c>
      <c r="AJ73" s="310" t="s">
        <v>41</v>
      </c>
      <c r="AK73" s="311" t="s">
        <v>41</v>
      </c>
      <c r="AL73" s="310">
        <v>1</v>
      </c>
      <c r="AM73" s="310">
        <v>1</v>
      </c>
      <c r="AN73" s="311">
        <v>2</v>
      </c>
      <c r="AO73" s="312" t="s">
        <v>41</v>
      </c>
      <c r="AP73" s="311">
        <v>0</v>
      </c>
      <c r="AQ73" s="313">
        <f>AVERAGE(Q73,S73,T73)+IF(OR(Q73&gt;7,AND(Q73&gt;5,T73&gt;5)),0.5,0)+IF(S73&gt;7,0.25,0)+IF(Q73&lt;6,-0.5*(6-Q73),0)</f>
        <v>2.3333333333333335</v>
      </c>
      <c r="AR73" s="314" t="str">
        <f>IF(AQ73&gt;9,"SuperStar",IF(AQ73&gt;8,"Star",IF(AQ73&gt;6.5,"GoodReg",IF(AQ73&gt;5,"Reg",IF(AQ73&gt;4,"Bench","Minors")))))</f>
        <v>Minors</v>
      </c>
      <c r="AS73" s="313">
        <f>AVERAGE(V73,X73,Y73)+IF(OR(V73&gt;7,AND(V73&gt;5,Y73&gt;5)),0.5,0)+IF(X73&gt;7,0.25,0)+IF(V73&lt;6,-0.5*(6-V73),0)</f>
        <v>3.666666666666667</v>
      </c>
      <c r="AT73" s="313" t="str">
        <f>IF(AS73&gt;9,"SuperStar",IF(AS73&gt;8,"Star",IF(AS73&gt;6.5,"GoodReg",IF(AS73&gt;5,"Reg",IF(AS73&gt;4,"Bench","Minors")))))</f>
        <v>Minors</v>
      </c>
      <c r="AU73" s="314">
        <f>MIN(AQ73+(MAX(0,25-J73))^1.5,AS73)</f>
        <v>3.666666666666667</v>
      </c>
      <c r="AV73" s="314" t="str">
        <f>IF(AU73&gt;9,"SuperStar",IF(AU73&gt;8,"Star",IF(AU73&gt;6.5,"GoodReg",IF(AU73&gt;5,"Reg",IF(AU73&gt;4,"Bench","Minors")))))</f>
        <v>Minors</v>
      </c>
      <c r="AW73" s="315">
        <f>IF(AND(OR(Q73+T73&gt;12,AND(Q73&gt;6,T73&gt;6)),AL73&gt;6,OR(AM73&gt;=AL73,AM73&gt;6)),1,0)</f>
        <v>0</v>
      </c>
      <c r="AX73" s="316">
        <f>IF(OR(AND(Q73&gt;6,U73&gt;6),Q73+T73&gt;12),1,0)</f>
        <v>0</v>
      </c>
      <c r="AY73" s="316">
        <f>IF(AND(Q73&gt;6,S73&gt;6,T73&gt;6),1,0)</f>
        <v>0</v>
      </c>
      <c r="AZ73" s="316">
        <f>IF(AND(S73&gt;7,OR(Q73&gt;6,T73&gt;6)),1,0)</f>
        <v>0</v>
      </c>
      <c r="BA73" s="316">
        <f>IF(AND(S73&gt;6,OR(Q73&gt;6,T73&gt;6)),1,0)</f>
        <v>0</v>
      </c>
      <c r="BB73" s="316">
        <f>IF(AND(OR(Q73&gt;6,S73&gt;6),OR(Q73&gt;6,T73&gt;6)),1,0)</f>
        <v>0</v>
      </c>
      <c r="BC73" s="316">
        <f>IF(AND(Q73&gt;4,OR(Q73&gt;6,S73&gt;6,T73&gt;6)),1,0)</f>
        <v>0</v>
      </c>
      <c r="BD73" s="316">
        <f>IF(AND(Q73&gt;4,OR(Q73&gt;6,R73&gt;6,S73&gt;6,T73&gt;6)),1,0)</f>
        <v>0</v>
      </c>
      <c r="BE73" s="311">
        <f>IF(AND(Q73&gt;4,MAX(Q73:U73)&gt;6),1,0)</f>
        <v>0</v>
      </c>
      <c r="BF73" s="315">
        <f>IF(AND(OR(V73+Y73&gt;12,AND(V73&gt;6,Y73&gt;6)),AL73&gt;6,OR(AM73&gt;=AL73,AM73&gt;6)),1,0)</f>
        <v>0</v>
      </c>
      <c r="BG73" s="316">
        <f>IF(OR(AND(V73&gt;6,Z73&gt;6),V73+Y73&gt;12),1,0)</f>
        <v>0</v>
      </c>
      <c r="BH73" s="316">
        <f>IF(AND(V73&gt;6,X73&gt;6,Y73&gt;6),1,0)</f>
        <v>0</v>
      </c>
      <c r="BI73" s="316">
        <f>IF(AND(X73&gt;7,OR(V73&gt;6,Y73&gt;6)),1,0)</f>
        <v>0</v>
      </c>
      <c r="BJ73" s="316">
        <f>IF(AND(X73&gt;6,OR(V73&gt;6,Y73&gt;6)),1,0)</f>
        <v>0</v>
      </c>
      <c r="BK73" s="316">
        <f>IF(AND(OR(V73&gt;6,X73&gt;6),OR(V73&gt;6,Y73&gt;6)),1,0)</f>
        <v>0</v>
      </c>
      <c r="BL73" s="316">
        <f>IF(AND(V73&gt;4,OR(V73&gt;6,X73&gt;6,Y73&gt;6)),1,0)</f>
        <v>0</v>
      </c>
      <c r="BM73" s="316">
        <f>IF(AND(V73&gt;4,OR(V73&gt;6,W73&gt;6,X73&gt;6,Y73&gt;6)),1,0)</f>
        <v>0</v>
      </c>
      <c r="BN73" s="311">
        <f>IF(AND(V73&gt;4,MAX(V73:Z73)&gt;6),1,0)</f>
        <v>0</v>
      </c>
      <c r="BO73" s="311">
        <f>IF(AVERAGE(AL73:AM73)&gt;9,1,0)+IF(AVERAGE(AL73:AM73)&gt;7,1,0)+IF(AL73&gt;7,1,0)+IF(AM73&gt;7,1,0)+IF(AN73&gt;8,1,0)+IF(AN73&gt;6,1,0)</f>
        <v>0</v>
      </c>
      <c r="BP73" s="317">
        <f>IF(OR(MAX(AD73,AE73,AI73,AK73)&gt;6,MAX(AF73,AG73,AH73,AJ73)&gt;7),2,IF(MAX(AD73:AK73)&gt;4,1,0))</f>
        <v>0</v>
      </c>
      <c r="BQ73" s="310" t="str">
        <f>IF(AP73=1,"Yes","")</f>
        <v/>
      </c>
      <c r="BR73" s="309" t="str">
        <f>IF($A73="ML","There",IF(AND($V73&gt;=6,AVERAGE($X73:$Y73)&gt;=6),"Likely",IF(OR($V73&gt;6,AND($V73=6,AVERAGE($X73:$Y73)&gt;=3),AND($V73&gt;=5,AVERAGE($X73:$Y73)&gt;=5),AVERAGE($V73,$X73:$Y73)&gt;5),"Possible","Unlikely")))</f>
        <v>Unlikely</v>
      </c>
      <c r="BS73" s="310" t="str">
        <f>IF(OR(AND(Q73&gt;=6,S73+T73&gt;=12),Q73&gt;7),"Start",IF(AND(Q73&gt;=5,S73+T73&gt;=8),"Bench","aack!"))</f>
        <v>aack!</v>
      </c>
      <c r="BT73" s="310" t="str">
        <f>IF(OR(AND(V73&gt;=6,X73+Y73&gt;=12),V73&gt;7),"Start",IF(AND(V73&gt;=5,X73+Y73&gt;=8),"Bench","aack!"))</f>
        <v>aack!</v>
      </c>
      <c r="BU73" s="310" t="str">
        <f>IF(Q73&gt;5,"ML",IF(Q73=5,"AAA",IF(Q73=4,"AA",IF(Q73=3,"A","SS-A"))))</f>
        <v>AA</v>
      </c>
      <c r="BV73" s="310">
        <f>Q73-V73</f>
        <v>0</v>
      </c>
      <c r="BW73" s="310">
        <f>R73-W73</f>
        <v>-1</v>
      </c>
      <c r="BX73" s="310">
        <f>S73-X73</f>
        <v>-3</v>
      </c>
      <c r="BY73" s="310">
        <f>T73-Y73</f>
        <v>-1</v>
      </c>
      <c r="BZ73" s="310">
        <f>U73-Z73</f>
        <v>-1</v>
      </c>
      <c r="CA73" s="310">
        <f>SUM(BV73:BZ73)</f>
        <v>-6</v>
      </c>
      <c r="CB73" s="310">
        <f>V73+X73+Y73</f>
        <v>14</v>
      </c>
      <c r="CC73" s="310">
        <f>V73+X73</f>
        <v>10</v>
      </c>
      <c r="CD73" s="310">
        <f>V73+Y73</f>
        <v>8</v>
      </c>
      <c r="CE73" s="310" t="str">
        <f>IF(J73&gt;24,"Now - Age",IF(Q73&gt;6,"Now",IF(V73&lt;6,"With Dev",MIN(V73-Q73,7-Q73))))</f>
        <v>With Dev</v>
      </c>
      <c r="CF73" s="325" t="str">
        <f t="shared" si="12"/>
        <v>X</v>
      </c>
      <c r="CG73" s="325" t="str">
        <f t="shared" si="5"/>
        <v/>
      </c>
      <c r="CH73" s="325" t="str">
        <f t="shared" si="6"/>
        <v/>
      </c>
      <c r="CI73" s="325" t="str">
        <f t="shared" si="7"/>
        <v/>
      </c>
      <c r="CJ73" s="325" t="str">
        <f t="shared" si="8"/>
        <v/>
      </c>
      <c r="CK73" s="325" t="str">
        <f t="shared" si="9"/>
        <v/>
      </c>
      <c r="CL73" s="325" t="str">
        <f t="shared" si="10"/>
        <v/>
      </c>
      <c r="CM73" s="325" t="str">
        <f t="shared" si="11"/>
        <v/>
      </c>
      <c r="CN73" s="325" t="str">
        <f t="shared" si="4"/>
        <v/>
      </c>
    </row>
    <row r="74" spans="1:92">
      <c r="A74" s="308" t="s">
        <v>327</v>
      </c>
      <c r="B74" s="309" t="s">
        <v>100</v>
      </c>
      <c r="C74" s="310" t="str">
        <f>IF(BH74=1,3,IF(BI74=1,4,IF(BF74=1,1,IF(BJ74=1,5,IF(BG74=1,2,IF(BK74=1,6,IF(BL74=1,7,IF(BM74=1,8,IF(BN74=1,9,"-")))))))))</f>
        <v>-</v>
      </c>
      <c r="D74" s="310" t="str">
        <f>IF(AY74=1,3,IF(AZ74=1,4,IF(AW74=1,1,IF(BA74=1,5,IF(AX74=1,2,IF(BB74=1,6,IF(BC74=1,7,IF(BD74=1,8,IF(BE74=1,9,"-")))))))))</f>
        <v>-</v>
      </c>
      <c r="E74" s="310" t="str">
        <f>IF(OR(OR(O74="Very High",O74="High"),AND(OR(O74="Very High",O74="High",O74="Normal"),OR(P74="Very High",P74="High"))),"K","T")</f>
        <v>K</v>
      </c>
      <c r="F74" s="310" t="s">
        <v>100</v>
      </c>
      <c r="G74" s="310" t="s">
        <v>400</v>
      </c>
      <c r="H74" s="310" t="s">
        <v>386</v>
      </c>
      <c r="I74" s="310" t="s">
        <v>215</v>
      </c>
      <c r="J74" s="310">
        <v>24</v>
      </c>
      <c r="K74" s="310" t="s">
        <v>107</v>
      </c>
      <c r="L74" s="310" t="s">
        <v>107</v>
      </c>
      <c r="M74" s="310" t="s">
        <v>47</v>
      </c>
      <c r="N74" s="311" t="s">
        <v>47</v>
      </c>
      <c r="O74" s="310" t="s">
        <v>229</v>
      </c>
      <c r="P74" s="311" t="s">
        <v>231</v>
      </c>
      <c r="Q74" s="310">
        <v>4</v>
      </c>
      <c r="R74" s="310">
        <v>4</v>
      </c>
      <c r="S74" s="310">
        <v>2</v>
      </c>
      <c r="T74" s="310">
        <v>4</v>
      </c>
      <c r="U74" s="311">
        <v>4</v>
      </c>
      <c r="V74" s="310">
        <v>5</v>
      </c>
      <c r="W74" s="310">
        <v>4</v>
      </c>
      <c r="X74" s="310">
        <v>2</v>
      </c>
      <c r="Y74" s="310">
        <v>5</v>
      </c>
      <c r="Z74" s="311">
        <v>4</v>
      </c>
      <c r="AA74" s="310">
        <v>6</v>
      </c>
      <c r="AB74" s="310">
        <v>2</v>
      </c>
      <c r="AC74" s="310">
        <v>1</v>
      </c>
      <c r="AD74" s="310" t="s">
        <v>41</v>
      </c>
      <c r="AE74" s="310">
        <v>8</v>
      </c>
      <c r="AF74" s="310">
        <v>7</v>
      </c>
      <c r="AG74" s="310">
        <v>1</v>
      </c>
      <c r="AH74" s="310">
        <v>9</v>
      </c>
      <c r="AI74" s="310" t="s">
        <v>41</v>
      </c>
      <c r="AJ74" s="310" t="s">
        <v>41</v>
      </c>
      <c r="AK74" s="311" t="s">
        <v>41</v>
      </c>
      <c r="AL74" s="310">
        <v>7</v>
      </c>
      <c r="AM74" s="310">
        <v>8</v>
      </c>
      <c r="AN74" s="311">
        <v>10</v>
      </c>
      <c r="AO74" s="312" t="s">
        <v>41</v>
      </c>
      <c r="AP74" s="311">
        <v>0</v>
      </c>
      <c r="AQ74" s="313">
        <f>AVERAGE(Q74,S74,T74)+IF(OR(Q74&gt;7,AND(Q74&gt;5,T74&gt;5)),0.5,0)+IF(S74&gt;7,0.25,0)+IF(Q74&lt;6,-0.5*(6-Q74),0)</f>
        <v>2.3333333333333335</v>
      </c>
      <c r="AR74" s="314" t="str">
        <f>IF(AQ74&gt;9,"SuperStar",IF(AQ74&gt;8,"Star",IF(AQ74&gt;6.5,"GoodReg",IF(AQ74&gt;5,"Reg",IF(AQ74&gt;4,"Bench","Minors")))))</f>
        <v>Minors</v>
      </c>
      <c r="AS74" s="313">
        <f>AVERAGE(V74,X74,Y74)+IF(OR(V74&gt;7,AND(V74&gt;5,Y74&gt;5)),0.5,0)+IF(X74&gt;7,0.25,0)+IF(V74&lt;6,-0.5*(6-V74),0)</f>
        <v>3.5</v>
      </c>
      <c r="AT74" s="313" t="str">
        <f>IF(AS74&gt;9,"SuperStar",IF(AS74&gt;8,"Star",IF(AS74&gt;6.5,"GoodReg",IF(AS74&gt;5,"Reg",IF(AS74&gt;4,"Bench","Minors")))))</f>
        <v>Minors</v>
      </c>
      <c r="AU74" s="314">
        <f>MIN(AQ74+(MAX(0,25-J74))^1.5,AS74)</f>
        <v>3.3333333333333335</v>
      </c>
      <c r="AV74" s="314" t="str">
        <f>IF(AU74&gt;9,"SuperStar",IF(AU74&gt;8,"Star",IF(AU74&gt;6.5,"GoodReg",IF(AU74&gt;5,"Reg",IF(AU74&gt;4,"Bench","Minors")))))</f>
        <v>Minors</v>
      </c>
      <c r="AW74" s="315">
        <f>IF(AND(OR(Q74+T74&gt;12,AND(Q74&gt;6,T74&gt;6)),AL74&gt;6,OR(AM74&gt;=AL74,AM74&gt;6)),1,0)</f>
        <v>0</v>
      </c>
      <c r="AX74" s="316">
        <f>IF(OR(AND(Q74&gt;6,U74&gt;6),Q74+T74&gt;12),1,0)</f>
        <v>0</v>
      </c>
      <c r="AY74" s="316">
        <f>IF(AND(Q74&gt;6,S74&gt;6,T74&gt;6),1,0)</f>
        <v>0</v>
      </c>
      <c r="AZ74" s="316">
        <f>IF(AND(S74&gt;7,OR(Q74&gt;6,T74&gt;6)),1,0)</f>
        <v>0</v>
      </c>
      <c r="BA74" s="316">
        <f>IF(AND(S74&gt;6,OR(Q74&gt;6,T74&gt;6)),1,0)</f>
        <v>0</v>
      </c>
      <c r="BB74" s="316">
        <f>IF(AND(OR(Q74&gt;6,S74&gt;6),OR(Q74&gt;6,T74&gt;6)),1,0)</f>
        <v>0</v>
      </c>
      <c r="BC74" s="316">
        <f>IF(AND(Q74&gt;4,OR(Q74&gt;6,S74&gt;6,T74&gt;6)),1,0)</f>
        <v>0</v>
      </c>
      <c r="BD74" s="316">
        <f>IF(AND(Q74&gt;4,OR(Q74&gt;6,R74&gt;6,S74&gt;6,T74&gt;6)),1,0)</f>
        <v>0</v>
      </c>
      <c r="BE74" s="311">
        <f>IF(AND(Q74&gt;4,MAX(Q74:U74)&gt;6),1,0)</f>
        <v>0</v>
      </c>
      <c r="BF74" s="315">
        <f>IF(AND(OR(V74+Y74&gt;12,AND(V74&gt;6,Y74&gt;6)),AL74&gt;6,OR(AM74&gt;=AL74,AM74&gt;6)),1,0)</f>
        <v>0</v>
      </c>
      <c r="BG74" s="316">
        <f>IF(OR(AND(V74&gt;6,Z74&gt;6),V74+Y74&gt;12),1,0)</f>
        <v>0</v>
      </c>
      <c r="BH74" s="316">
        <f>IF(AND(V74&gt;6,X74&gt;6,Y74&gt;6),1,0)</f>
        <v>0</v>
      </c>
      <c r="BI74" s="316">
        <f>IF(AND(X74&gt;7,OR(V74&gt;6,Y74&gt;6)),1,0)</f>
        <v>0</v>
      </c>
      <c r="BJ74" s="316">
        <f>IF(AND(X74&gt;6,OR(V74&gt;6,Y74&gt;6)),1,0)</f>
        <v>0</v>
      </c>
      <c r="BK74" s="316">
        <f>IF(AND(OR(V74&gt;6,X74&gt;6),OR(V74&gt;6,Y74&gt;6)),1,0)</f>
        <v>0</v>
      </c>
      <c r="BL74" s="316">
        <f>IF(AND(V74&gt;4,OR(V74&gt;6,X74&gt;6,Y74&gt;6)),1,0)</f>
        <v>0</v>
      </c>
      <c r="BM74" s="316">
        <f>IF(AND(V74&gt;4,OR(V74&gt;6,W74&gt;6,X74&gt;6,Y74&gt;6)),1,0)</f>
        <v>0</v>
      </c>
      <c r="BN74" s="311">
        <f>IF(AND(V74&gt;4,MAX(V74:Z74)&gt;6),1,0)</f>
        <v>0</v>
      </c>
      <c r="BO74" s="311">
        <f>IF(AVERAGE(AL74:AM74)&gt;9,1,0)+IF(AVERAGE(AL74:AM74)&gt;7,1,0)+IF(AL74&gt;7,1,0)+IF(AM74&gt;7,1,0)+IF(AN74&gt;8,1,0)+IF(AN74&gt;6,1,0)</f>
        <v>4</v>
      </c>
      <c r="BP74" s="317">
        <f>IF(OR(MAX(AD74,AE74,AI74,AK74)&gt;6,MAX(AF74,AG74,AH74,AJ74)&gt;7),2,IF(MAX(AD74:AK74)&gt;4,1,0))</f>
        <v>2</v>
      </c>
      <c r="BQ74" s="310" t="str">
        <f>IF(AP74=1,"Yes","")</f>
        <v/>
      </c>
      <c r="BR74" s="309" t="str">
        <f>IF($A74="ML","There",IF(AND($V74&gt;=6,AVERAGE($X74:$Y74)&gt;=6),"Likely",IF(OR($V74&gt;6,AND($V74=6,AVERAGE($X74:$Y74)&gt;=3),AND($V74&gt;=5,AVERAGE($X74:$Y74)&gt;=5),AVERAGE($V74,$X74:$Y74)&gt;5),"Possible","Unlikely")))</f>
        <v>Unlikely</v>
      </c>
      <c r="BS74" s="310" t="str">
        <f>IF(OR(AND(Q74&gt;=6,S74+T74&gt;=12),Q74&gt;7),"Start",IF(AND(Q74&gt;=5,S74+T74&gt;=8),"Bench","aack!"))</f>
        <v>aack!</v>
      </c>
      <c r="BT74" s="310" t="str">
        <f>IF(OR(AND(V74&gt;=6,X74+Y74&gt;=12),V74&gt;7),"Start",IF(AND(V74&gt;=5,X74+Y74&gt;=8),"Bench","aack!"))</f>
        <v>aack!</v>
      </c>
      <c r="BU74" s="310" t="str">
        <f>IF(Q74&gt;5,"ML",IF(Q74=5,"AAA",IF(Q74=4,"AA",IF(Q74=3,"A","SS-A"))))</f>
        <v>AA</v>
      </c>
      <c r="BV74" s="310">
        <f>Q74-V74</f>
        <v>-1</v>
      </c>
      <c r="BW74" s="310">
        <f>R74-W74</f>
        <v>0</v>
      </c>
      <c r="BX74" s="310">
        <f>S74-X74</f>
        <v>0</v>
      </c>
      <c r="BY74" s="310">
        <f>T74-Y74</f>
        <v>-1</v>
      </c>
      <c r="BZ74" s="310">
        <f>U74-Z74</f>
        <v>0</v>
      </c>
      <c r="CA74" s="310">
        <f>SUM(BV74:BZ74)</f>
        <v>-2</v>
      </c>
      <c r="CB74" s="310">
        <f>V74+X74+Y74</f>
        <v>12</v>
      </c>
      <c r="CC74" s="310">
        <f>V74+X74</f>
        <v>7</v>
      </c>
      <c r="CD74" s="310">
        <f>V74+Y74</f>
        <v>10</v>
      </c>
      <c r="CE74" s="310" t="str">
        <f>IF(J74&gt;24,"Now - Age",IF(Q74&gt;6,"Now",IF(V74&lt;6,"With Dev",MIN(V74-Q74,7-Q74))))</f>
        <v>With Dev</v>
      </c>
      <c r="CF74" s="325" t="str">
        <f t="shared" si="12"/>
        <v/>
      </c>
      <c r="CG74" s="325" t="str">
        <f t="shared" si="5"/>
        <v>X</v>
      </c>
      <c r="CH74" s="325" t="str">
        <f t="shared" si="6"/>
        <v>X</v>
      </c>
      <c r="CI74" s="325" t="str">
        <f t="shared" si="7"/>
        <v/>
      </c>
      <c r="CJ74" s="325" t="str">
        <f t="shared" si="8"/>
        <v>X</v>
      </c>
      <c r="CK74" s="325" t="str">
        <f t="shared" si="9"/>
        <v/>
      </c>
      <c r="CL74" s="325" t="str">
        <f t="shared" si="10"/>
        <v/>
      </c>
      <c r="CM74" s="325" t="str">
        <f t="shared" si="11"/>
        <v/>
      </c>
      <c r="CN74" s="325" t="str">
        <f t="shared" si="4"/>
        <v/>
      </c>
    </row>
    <row r="75" spans="1:92">
      <c r="A75" s="308" t="s">
        <v>327</v>
      </c>
      <c r="B75" s="309" t="s">
        <v>98</v>
      </c>
      <c r="C75" s="310" t="str">
        <f>IF(BH75=1,3,IF(BI75=1,4,IF(BF75=1,1,IF(BJ75=1,5,IF(BG75=1,2,IF(BK75=1,6,IF(BL75=1,7,IF(BM75=1,8,IF(BN75=1,9,"-")))))))))</f>
        <v>-</v>
      </c>
      <c r="D75" s="310" t="str">
        <f>IF(AY75=1,3,IF(AZ75=1,4,IF(AW75=1,1,IF(BA75=1,5,IF(AX75=1,2,IF(BB75=1,6,IF(BC75=1,7,IF(BD75=1,8,IF(BE75=1,9,"-")))))))))</f>
        <v>-</v>
      </c>
      <c r="E75" s="310" t="str">
        <f>IF(OR(OR(O75="Very High",O75="High"),AND(OR(O75="Very High",O75="High",O75="Normal"),OR(P75="Very High",P75="High"))),"K","T")</f>
        <v>K</v>
      </c>
      <c r="F75" s="310" t="s">
        <v>98</v>
      </c>
      <c r="G75" s="310" t="s">
        <v>505</v>
      </c>
      <c r="H75" s="310" t="s">
        <v>383</v>
      </c>
      <c r="I75" s="310" t="s">
        <v>327</v>
      </c>
      <c r="J75" s="310">
        <v>22</v>
      </c>
      <c r="K75" s="310" t="s">
        <v>107</v>
      </c>
      <c r="L75" s="310" t="s">
        <v>107</v>
      </c>
      <c r="M75" s="310" t="s">
        <v>47</v>
      </c>
      <c r="N75" s="311" t="s">
        <v>47</v>
      </c>
      <c r="O75" s="310" t="s">
        <v>229</v>
      </c>
      <c r="P75" s="311" t="s">
        <v>229</v>
      </c>
      <c r="Q75" s="310">
        <v>4</v>
      </c>
      <c r="R75" s="310">
        <v>6</v>
      </c>
      <c r="S75" s="310">
        <v>2</v>
      </c>
      <c r="T75" s="310">
        <v>3</v>
      </c>
      <c r="U75" s="311">
        <v>2</v>
      </c>
      <c r="V75" s="310">
        <v>5</v>
      </c>
      <c r="W75" s="310">
        <v>6</v>
      </c>
      <c r="X75" s="310">
        <v>4</v>
      </c>
      <c r="Y75" s="310">
        <v>4</v>
      </c>
      <c r="Z75" s="311">
        <v>4</v>
      </c>
      <c r="AA75" s="310">
        <v>3</v>
      </c>
      <c r="AB75" s="310">
        <v>1</v>
      </c>
      <c r="AC75" s="310">
        <v>1</v>
      </c>
      <c r="AD75" s="310" t="s">
        <v>41</v>
      </c>
      <c r="AE75" s="310" t="s">
        <v>41</v>
      </c>
      <c r="AF75" s="310">
        <v>4</v>
      </c>
      <c r="AG75" s="310" t="s">
        <v>41</v>
      </c>
      <c r="AH75" s="310" t="s">
        <v>41</v>
      </c>
      <c r="AI75" s="310" t="s">
        <v>41</v>
      </c>
      <c r="AJ75" s="310" t="s">
        <v>41</v>
      </c>
      <c r="AK75" s="311" t="s">
        <v>41</v>
      </c>
      <c r="AL75" s="310">
        <v>8</v>
      </c>
      <c r="AM75" s="310">
        <v>9</v>
      </c>
      <c r="AN75" s="311">
        <v>8</v>
      </c>
      <c r="AO75" s="312" t="s">
        <v>41</v>
      </c>
      <c r="AP75" s="311">
        <v>0</v>
      </c>
      <c r="AQ75" s="313">
        <f>AVERAGE(Q75,S75,T75)+IF(OR(Q75&gt;7,AND(Q75&gt;5,T75&gt;5)),0.5,0)+IF(S75&gt;7,0.25,0)+IF(Q75&lt;6,-0.5*(6-Q75),0)</f>
        <v>2</v>
      </c>
      <c r="AR75" s="314" t="str">
        <f>IF(AQ75&gt;9,"SuperStar",IF(AQ75&gt;8,"Star",IF(AQ75&gt;6.5,"GoodReg",IF(AQ75&gt;5,"Reg",IF(AQ75&gt;4,"Bench","Minors")))))</f>
        <v>Minors</v>
      </c>
      <c r="AS75" s="313">
        <f>AVERAGE(V75,X75,Y75)+IF(OR(V75&gt;7,AND(V75&gt;5,Y75&gt;5)),0.5,0)+IF(X75&gt;7,0.25,0)+IF(V75&lt;6,-0.5*(6-V75),0)</f>
        <v>3.833333333333333</v>
      </c>
      <c r="AT75" s="313" t="str">
        <f>IF(AS75&gt;9,"SuperStar",IF(AS75&gt;8,"Star",IF(AS75&gt;6.5,"GoodReg",IF(AS75&gt;5,"Reg",IF(AS75&gt;4,"Bench","Minors")))))</f>
        <v>Minors</v>
      </c>
      <c r="AU75" s="314">
        <f>MIN(AQ75+(MAX(0,25-J75))^1.5,AS75)</f>
        <v>3.833333333333333</v>
      </c>
      <c r="AV75" s="314" t="str">
        <f>IF(AU75&gt;9,"SuperStar",IF(AU75&gt;8,"Star",IF(AU75&gt;6.5,"GoodReg",IF(AU75&gt;5,"Reg",IF(AU75&gt;4,"Bench","Minors")))))</f>
        <v>Minors</v>
      </c>
      <c r="AW75" s="315">
        <f>IF(AND(OR(Q75+T75&gt;12,AND(Q75&gt;6,T75&gt;6)),AL75&gt;6,OR(AM75&gt;=AL75,AM75&gt;6)),1,0)</f>
        <v>0</v>
      </c>
      <c r="AX75" s="316">
        <f>IF(OR(AND(Q75&gt;6,U75&gt;6),Q75+T75&gt;12),1,0)</f>
        <v>0</v>
      </c>
      <c r="AY75" s="316">
        <f>IF(AND(Q75&gt;6,S75&gt;6,T75&gt;6),1,0)</f>
        <v>0</v>
      </c>
      <c r="AZ75" s="316">
        <f>IF(AND(S75&gt;7,OR(Q75&gt;6,T75&gt;6)),1,0)</f>
        <v>0</v>
      </c>
      <c r="BA75" s="316">
        <f>IF(AND(S75&gt;6,OR(Q75&gt;6,T75&gt;6)),1,0)</f>
        <v>0</v>
      </c>
      <c r="BB75" s="316">
        <f>IF(AND(OR(Q75&gt;6,S75&gt;6),OR(Q75&gt;6,T75&gt;6)),1,0)</f>
        <v>0</v>
      </c>
      <c r="BC75" s="316">
        <f>IF(AND(Q75&gt;4,OR(Q75&gt;6,S75&gt;6,T75&gt;6)),1,0)</f>
        <v>0</v>
      </c>
      <c r="BD75" s="316">
        <f>IF(AND(Q75&gt;4,OR(Q75&gt;6,R75&gt;6,S75&gt;6,T75&gt;6)),1,0)</f>
        <v>0</v>
      </c>
      <c r="BE75" s="311">
        <f>IF(AND(Q75&gt;4,MAX(Q75:U75)&gt;6),1,0)</f>
        <v>0</v>
      </c>
      <c r="BF75" s="315">
        <f>IF(AND(OR(V75+Y75&gt;12,AND(V75&gt;6,Y75&gt;6)),AL75&gt;6,OR(AM75&gt;=AL75,AM75&gt;6)),1,0)</f>
        <v>0</v>
      </c>
      <c r="BG75" s="316">
        <f>IF(OR(AND(V75&gt;6,Z75&gt;6),V75+Y75&gt;12),1,0)</f>
        <v>0</v>
      </c>
      <c r="BH75" s="316">
        <f>IF(AND(V75&gt;6,X75&gt;6,Y75&gt;6),1,0)</f>
        <v>0</v>
      </c>
      <c r="BI75" s="316">
        <f>IF(AND(X75&gt;7,OR(V75&gt;6,Y75&gt;6)),1,0)</f>
        <v>0</v>
      </c>
      <c r="BJ75" s="316">
        <f>IF(AND(X75&gt;6,OR(V75&gt;6,Y75&gt;6)),1,0)</f>
        <v>0</v>
      </c>
      <c r="BK75" s="316">
        <f>IF(AND(OR(V75&gt;6,X75&gt;6),OR(V75&gt;6,Y75&gt;6)),1,0)</f>
        <v>0</v>
      </c>
      <c r="BL75" s="316">
        <f>IF(AND(V75&gt;4,OR(V75&gt;6,X75&gt;6,Y75&gt;6)),1,0)</f>
        <v>0</v>
      </c>
      <c r="BM75" s="316">
        <f>IF(AND(V75&gt;4,OR(V75&gt;6,W75&gt;6,X75&gt;6,Y75&gt;6)),1,0)</f>
        <v>0</v>
      </c>
      <c r="BN75" s="311">
        <f>IF(AND(V75&gt;4,MAX(V75:Z75)&gt;6),1,0)</f>
        <v>0</v>
      </c>
      <c r="BO75" s="311">
        <f>IF(AVERAGE(AL75:AM75)&gt;9,1,0)+IF(AVERAGE(AL75:AM75)&gt;7,1,0)+IF(AL75&gt;7,1,0)+IF(AM75&gt;7,1,0)+IF(AN75&gt;8,1,0)+IF(AN75&gt;6,1,0)</f>
        <v>4</v>
      </c>
      <c r="BP75" s="317">
        <f>IF(OR(MAX(AD75,AE75,AI75,AK75)&gt;6,MAX(AF75,AG75,AH75,AJ75)&gt;7),2,IF(MAX(AD75:AK75)&gt;4,1,0))</f>
        <v>0</v>
      </c>
      <c r="BQ75" s="310" t="str">
        <f>IF(AP75=1,"Yes","")</f>
        <v/>
      </c>
      <c r="BR75" s="309" t="str">
        <f>IF($A75="ML","There",IF(AND($V75&gt;=6,AVERAGE($X75:$Y75)&gt;=6),"Likely",IF(OR($V75&gt;6,AND($V75=6,AVERAGE($X75:$Y75)&gt;=3),AND($V75&gt;=5,AVERAGE($X75:$Y75)&gt;=5),AVERAGE($V75,$X75:$Y75)&gt;5),"Possible","Unlikely")))</f>
        <v>Unlikely</v>
      </c>
      <c r="BS75" s="310" t="str">
        <f>IF(OR(AND(Q75&gt;=6,S75+T75&gt;=12),Q75&gt;7),"Start",IF(AND(Q75&gt;=5,S75+T75&gt;=8),"Bench","aack!"))</f>
        <v>aack!</v>
      </c>
      <c r="BT75" s="310" t="str">
        <f>IF(OR(AND(V75&gt;=6,X75+Y75&gt;=12),V75&gt;7),"Start",IF(AND(V75&gt;=5,X75+Y75&gt;=8),"Bench","aack!"))</f>
        <v>Bench</v>
      </c>
      <c r="BU75" s="310" t="str">
        <f>IF(Q75&gt;5,"ML",IF(Q75=5,"AAA",IF(Q75=4,"AA",IF(Q75=3,"A","SS-A"))))</f>
        <v>AA</v>
      </c>
      <c r="BV75" s="310">
        <f>Q75-V75</f>
        <v>-1</v>
      </c>
      <c r="BW75" s="310">
        <f>R75-W75</f>
        <v>0</v>
      </c>
      <c r="BX75" s="310">
        <f>S75-X75</f>
        <v>-2</v>
      </c>
      <c r="BY75" s="310">
        <f>T75-Y75</f>
        <v>-1</v>
      </c>
      <c r="BZ75" s="310">
        <f>U75-Z75</f>
        <v>-2</v>
      </c>
      <c r="CA75" s="310">
        <f>SUM(BV75:BZ75)</f>
        <v>-6</v>
      </c>
      <c r="CB75" s="310">
        <f>V75+X75+Y75</f>
        <v>13</v>
      </c>
      <c r="CC75" s="310">
        <f>V75+X75</f>
        <v>9</v>
      </c>
      <c r="CD75" s="310">
        <f>V75+Y75</f>
        <v>9</v>
      </c>
      <c r="CE75" s="310" t="str">
        <f>IF(J75&gt;24,"Now - Age",IF(Q75&gt;6,"Now",IF(V75&lt;6,"With Dev",MIN(V75-Q75,7-Q75))))</f>
        <v>With Dev</v>
      </c>
      <c r="CF75" s="325" t="str">
        <f t="shared" si="12"/>
        <v/>
      </c>
      <c r="CG75" s="325" t="str">
        <f t="shared" si="5"/>
        <v/>
      </c>
      <c r="CH75" s="325" t="str">
        <f t="shared" si="6"/>
        <v/>
      </c>
      <c r="CI75" s="325" t="str">
        <f t="shared" si="7"/>
        <v/>
      </c>
      <c r="CJ75" s="325" t="str">
        <f t="shared" si="8"/>
        <v/>
      </c>
      <c r="CK75" s="325" t="str">
        <f t="shared" si="9"/>
        <v/>
      </c>
      <c r="CL75" s="325" t="str">
        <f t="shared" si="10"/>
        <v/>
      </c>
      <c r="CM75" s="325" t="str">
        <f t="shared" si="11"/>
        <v/>
      </c>
      <c r="CN75" s="325" t="str">
        <f t="shared" ref="CN75:CN86" si="13">IF(COUNTBLANK(CF75:CM75)=8,"X","")</f>
        <v>X</v>
      </c>
    </row>
    <row r="76" spans="1:92">
      <c r="A76" s="308" t="s">
        <v>327</v>
      </c>
      <c r="B76" s="309" t="s">
        <v>100</v>
      </c>
      <c r="C76" s="310">
        <f>IF(BH76=1,3,IF(BI76=1,4,IF(BF76=1,1,IF(BJ76=1,5,IF(BG76=1,2,IF(BK76=1,6,IF(BL76=1,7,IF(BM76=1,8,IF(BN76=1,9,"-")))))))))</f>
        <v>7</v>
      </c>
      <c r="D76" s="310" t="str">
        <f>IF(AY76=1,3,IF(AZ76=1,4,IF(AW76=1,1,IF(BA76=1,5,IF(AX76=1,2,IF(BB76=1,6,IF(BC76=1,7,IF(BD76=1,8,IF(BE76=1,9,"-")))))))))</f>
        <v>-</v>
      </c>
      <c r="E76" s="310" t="str">
        <f>IF(OR(OR(O76="Very High",O76="High"),AND(OR(O76="Very High",O76="High",O76="Normal"),OR(P76="Very High",P76="High"))),"K","T")</f>
        <v>K</v>
      </c>
      <c r="F76" s="310" t="s">
        <v>100</v>
      </c>
      <c r="G76" s="310" t="s">
        <v>632</v>
      </c>
      <c r="H76" s="310" t="s">
        <v>383</v>
      </c>
      <c r="I76" s="310" t="s">
        <v>327</v>
      </c>
      <c r="J76" s="310">
        <v>22</v>
      </c>
      <c r="K76" s="310" t="s">
        <v>107</v>
      </c>
      <c r="L76" s="310" t="s">
        <v>107</v>
      </c>
      <c r="M76" s="310" t="s">
        <v>47</v>
      </c>
      <c r="N76" s="311" t="s">
        <v>47</v>
      </c>
      <c r="O76" s="310" t="s">
        <v>228</v>
      </c>
      <c r="P76" s="311" t="s">
        <v>229</v>
      </c>
      <c r="Q76" s="310">
        <v>4</v>
      </c>
      <c r="R76" s="310">
        <v>3</v>
      </c>
      <c r="S76" s="310">
        <v>3</v>
      </c>
      <c r="T76" s="310">
        <v>2</v>
      </c>
      <c r="U76" s="311">
        <v>2</v>
      </c>
      <c r="V76" s="310">
        <v>5</v>
      </c>
      <c r="W76" s="310">
        <v>4</v>
      </c>
      <c r="X76" s="310">
        <v>7</v>
      </c>
      <c r="Y76" s="310">
        <v>4</v>
      </c>
      <c r="Z76" s="311">
        <v>4</v>
      </c>
      <c r="AA76" s="310">
        <v>7</v>
      </c>
      <c r="AB76" s="310">
        <v>5</v>
      </c>
      <c r="AC76" s="310">
        <v>1</v>
      </c>
      <c r="AD76" s="310" t="s">
        <v>41</v>
      </c>
      <c r="AE76" s="310" t="s">
        <v>41</v>
      </c>
      <c r="AF76" s="310" t="s">
        <v>41</v>
      </c>
      <c r="AG76" s="310" t="s">
        <v>41</v>
      </c>
      <c r="AH76" s="310">
        <v>6</v>
      </c>
      <c r="AI76" s="310" t="s">
        <v>41</v>
      </c>
      <c r="AJ76" s="310" t="s">
        <v>41</v>
      </c>
      <c r="AK76" s="311" t="s">
        <v>41</v>
      </c>
      <c r="AL76" s="310">
        <v>10</v>
      </c>
      <c r="AM76" s="310">
        <v>8</v>
      </c>
      <c r="AN76" s="311">
        <v>8</v>
      </c>
      <c r="AO76" s="312" t="s">
        <v>41</v>
      </c>
      <c r="AP76" s="311">
        <v>0</v>
      </c>
      <c r="AQ76" s="313">
        <f>AVERAGE(Q76,S76,T76)+IF(OR(Q76&gt;7,AND(Q76&gt;5,T76&gt;5)),0.5,0)+IF(S76&gt;7,0.25,0)+IF(Q76&lt;6,-0.5*(6-Q76),0)</f>
        <v>2</v>
      </c>
      <c r="AR76" s="314" t="str">
        <f>IF(AQ76&gt;9,"SuperStar",IF(AQ76&gt;8,"Star",IF(AQ76&gt;6.5,"GoodReg",IF(AQ76&gt;5,"Reg",IF(AQ76&gt;4,"Bench","Minors")))))</f>
        <v>Minors</v>
      </c>
      <c r="AS76" s="313">
        <f>AVERAGE(V76,X76,Y76)+IF(OR(V76&gt;7,AND(V76&gt;5,Y76&gt;5)),0.5,0)+IF(X76&gt;7,0.25,0)+IF(V76&lt;6,-0.5*(6-V76),0)</f>
        <v>4.833333333333333</v>
      </c>
      <c r="AT76" s="313" t="str">
        <f>IF(AS76&gt;9,"SuperStar",IF(AS76&gt;8,"Star",IF(AS76&gt;6.5,"GoodReg",IF(AS76&gt;5,"Reg",IF(AS76&gt;4,"Bench","Minors")))))</f>
        <v>Bench</v>
      </c>
      <c r="AU76" s="314">
        <f>MIN(AQ76+(MAX(0,25-J76))^1.5,AS76)</f>
        <v>4.833333333333333</v>
      </c>
      <c r="AV76" s="314" t="str">
        <f>IF(AU76&gt;9,"SuperStar",IF(AU76&gt;8,"Star",IF(AU76&gt;6.5,"GoodReg",IF(AU76&gt;5,"Reg",IF(AU76&gt;4,"Bench","Minors")))))</f>
        <v>Bench</v>
      </c>
      <c r="AW76" s="315">
        <f>IF(AND(OR(Q76+T76&gt;12,AND(Q76&gt;6,T76&gt;6)),AL76&gt;6,OR(AM76&gt;=AL76,AM76&gt;6)),1,0)</f>
        <v>0</v>
      </c>
      <c r="AX76" s="316">
        <f>IF(OR(AND(Q76&gt;6,U76&gt;6),Q76+T76&gt;12),1,0)</f>
        <v>0</v>
      </c>
      <c r="AY76" s="316">
        <f>IF(AND(Q76&gt;6,S76&gt;6,T76&gt;6),1,0)</f>
        <v>0</v>
      </c>
      <c r="AZ76" s="316">
        <f>IF(AND(S76&gt;7,OR(Q76&gt;6,T76&gt;6)),1,0)</f>
        <v>0</v>
      </c>
      <c r="BA76" s="316">
        <f>IF(AND(S76&gt;6,OR(Q76&gt;6,T76&gt;6)),1,0)</f>
        <v>0</v>
      </c>
      <c r="BB76" s="316">
        <f>IF(AND(OR(Q76&gt;6,S76&gt;6),OR(Q76&gt;6,T76&gt;6)),1,0)</f>
        <v>0</v>
      </c>
      <c r="BC76" s="316">
        <f>IF(AND(Q76&gt;4,OR(Q76&gt;6,S76&gt;6,T76&gt;6)),1,0)</f>
        <v>0</v>
      </c>
      <c r="BD76" s="316">
        <f>IF(AND(Q76&gt;4,OR(Q76&gt;6,R76&gt;6,S76&gt;6,T76&gt;6)),1,0)</f>
        <v>0</v>
      </c>
      <c r="BE76" s="311">
        <f>IF(AND(Q76&gt;4,MAX(Q76:U76)&gt;6),1,0)</f>
        <v>0</v>
      </c>
      <c r="BF76" s="315">
        <f>IF(AND(OR(V76+Y76&gt;12,AND(V76&gt;6,Y76&gt;6)),AL76&gt;6,OR(AM76&gt;=AL76,AM76&gt;6)),1,0)</f>
        <v>0</v>
      </c>
      <c r="BG76" s="316">
        <f>IF(OR(AND(V76&gt;6,Z76&gt;6),V76+Y76&gt;12),1,0)</f>
        <v>0</v>
      </c>
      <c r="BH76" s="316">
        <f>IF(AND(V76&gt;6,X76&gt;6,Y76&gt;6),1,0)</f>
        <v>0</v>
      </c>
      <c r="BI76" s="316">
        <f>IF(AND(X76&gt;7,OR(V76&gt;6,Y76&gt;6)),1,0)</f>
        <v>0</v>
      </c>
      <c r="BJ76" s="316">
        <f>IF(AND(X76&gt;6,OR(V76&gt;6,Y76&gt;6)),1,0)</f>
        <v>0</v>
      </c>
      <c r="BK76" s="316">
        <f>IF(AND(OR(V76&gt;6,X76&gt;6),OR(V76&gt;6,Y76&gt;6)),1,0)</f>
        <v>0</v>
      </c>
      <c r="BL76" s="316">
        <f>IF(AND(V76&gt;4,OR(V76&gt;6,X76&gt;6,Y76&gt;6)),1,0)</f>
        <v>1</v>
      </c>
      <c r="BM76" s="316">
        <f>IF(AND(V76&gt;4,OR(V76&gt;6,W76&gt;6,X76&gt;6,Y76&gt;6)),1,0)</f>
        <v>1</v>
      </c>
      <c r="BN76" s="311">
        <f>IF(AND(V76&gt;4,MAX(V76:Z76)&gt;6),1,0)</f>
        <v>1</v>
      </c>
      <c r="BO76" s="311">
        <f>IF(AVERAGE(AL76:AM76)&gt;9,1,0)+IF(AVERAGE(AL76:AM76)&gt;7,1,0)+IF(AL76&gt;7,1,0)+IF(AM76&gt;7,1,0)+IF(AN76&gt;8,1,0)+IF(AN76&gt;6,1,0)</f>
        <v>4</v>
      </c>
      <c r="BP76" s="317">
        <f>IF(OR(MAX(AD76,AE76,AI76,AK76)&gt;6,MAX(AF76,AG76,AH76,AJ76)&gt;7),2,IF(MAX(AD76:AK76)&gt;4,1,0))</f>
        <v>1</v>
      </c>
      <c r="BQ76" s="310" t="str">
        <f>IF(AP76=1,"Yes","")</f>
        <v/>
      </c>
      <c r="BR76" s="309" t="str">
        <f>IF($A76="ML","There",IF(AND($V76&gt;=6,AVERAGE($X76:$Y76)&gt;=6),"Likely",IF(OR($V76&gt;6,AND($V76=6,AVERAGE($X76:$Y76)&gt;=3),AND($V76&gt;=5,AVERAGE($X76:$Y76)&gt;=5),AVERAGE($V76,$X76:$Y76)&gt;5),"Possible","Unlikely")))</f>
        <v>Possible</v>
      </c>
      <c r="BS76" s="310" t="str">
        <f>IF(OR(AND(Q76&gt;=6,S76+T76&gt;=12),Q76&gt;7),"Start",IF(AND(Q76&gt;=5,S76+T76&gt;=8),"Bench","aack!"))</f>
        <v>aack!</v>
      </c>
      <c r="BT76" s="310" t="str">
        <f>IF(OR(AND(V76&gt;=6,X76+Y76&gt;=12),V76&gt;7),"Start",IF(AND(V76&gt;=5,X76+Y76&gt;=8),"Bench","aack!"))</f>
        <v>Bench</v>
      </c>
      <c r="BU76" s="310" t="str">
        <f>IF(Q76&gt;5,"ML",IF(Q76=5,"AAA",IF(Q76=4,"AA",IF(Q76=3,"A","SS-A"))))</f>
        <v>AA</v>
      </c>
      <c r="BV76" s="310">
        <f>Q76-V76</f>
        <v>-1</v>
      </c>
      <c r="BW76" s="310">
        <f>R76-W76</f>
        <v>-1</v>
      </c>
      <c r="BX76" s="310">
        <f>S76-X76</f>
        <v>-4</v>
      </c>
      <c r="BY76" s="310">
        <f>T76-Y76</f>
        <v>-2</v>
      </c>
      <c r="BZ76" s="310">
        <f>U76-Z76</f>
        <v>-2</v>
      </c>
      <c r="CA76" s="310">
        <f>SUM(BV76:BZ76)</f>
        <v>-10</v>
      </c>
      <c r="CB76" s="310">
        <f>V76+X76+Y76</f>
        <v>16</v>
      </c>
      <c r="CC76" s="310">
        <f>V76+X76</f>
        <v>12</v>
      </c>
      <c r="CD76" s="310">
        <f>V76+Y76</f>
        <v>9</v>
      </c>
      <c r="CE76" s="310" t="str">
        <f>IF(J76&gt;24,"Now - Age",IF(Q76&gt;6,"Now",IF(V76&lt;6,"With Dev",MIN(V76-Q76,7-Q76))))</f>
        <v>With Dev</v>
      </c>
      <c r="CF76" s="325" t="str">
        <f t="shared" si="12"/>
        <v/>
      </c>
      <c r="CG76" s="325" t="str">
        <f t="shared" ref="CG76:CG92" si="14">IF(AND(AE76&lt;&gt;"-",AE76&gt;5),"X","")</f>
        <v/>
      </c>
      <c r="CH76" s="325" t="str">
        <f t="shared" ref="CH76:CH92" si="15">IF(AND(AF76&lt;&gt;"-",AF76&gt;5),"X","")</f>
        <v/>
      </c>
      <c r="CI76" s="325" t="str">
        <f t="shared" ref="CI76:CI92" si="16">IF(AND(AG76&lt;&gt;"-",AG76&gt;4,AA76&gt;6),"X","")</f>
        <v/>
      </c>
      <c r="CJ76" s="325" t="str">
        <f t="shared" ref="CJ76:CJ92" si="17">IF(AND(AH76&lt;&gt;"-",AH76&gt;5,AA76&gt;5),"X","")</f>
        <v>X</v>
      </c>
      <c r="CK76" s="325" t="str">
        <f t="shared" ref="CK76:CK92" si="18">IF(AND(AI76&lt;&gt;"-",AI76&gt;3),"X","")</f>
        <v/>
      </c>
      <c r="CL76" s="325" t="str">
        <f t="shared" ref="CL76:CL92" si="19">IF(AND(AJ76&lt;&gt;"-",AJ76&gt;6),"X","")</f>
        <v/>
      </c>
      <c r="CM76" s="325" t="str">
        <f t="shared" ref="CM76:CM92" si="20">IF(AND(AK76&lt;&gt;"-",AK76&gt;5,AB76&gt;6),"X","")</f>
        <v/>
      </c>
      <c r="CN76" s="325" t="str">
        <f t="shared" si="13"/>
        <v/>
      </c>
    </row>
    <row r="77" spans="1:92">
      <c r="A77" s="308" t="s">
        <v>327</v>
      </c>
      <c r="B77" s="309" t="s">
        <v>101</v>
      </c>
      <c r="C77" s="310" t="str">
        <f>IF(BH77=1,3,IF(BI77=1,4,IF(BF77=1,1,IF(BJ77=1,5,IF(BG77=1,2,IF(BK77=1,6,IF(BL77=1,7,IF(BM77=1,8,IF(BN77=1,9,"-")))))))))</f>
        <v>-</v>
      </c>
      <c r="D77" s="310" t="str">
        <f>IF(AY77=1,3,IF(AZ77=1,4,IF(AW77=1,1,IF(BA77=1,5,IF(AX77=1,2,IF(BB77=1,6,IF(BC77=1,7,IF(BD77=1,8,IF(BE77=1,9,"-")))))))))</f>
        <v>-</v>
      </c>
      <c r="E77" s="310" t="str">
        <f>IF(OR(OR(O77="Very High",O77="High"),AND(OR(O77="Very High",O77="High",O77="Normal"),OR(P77="Very High",P77="High"))),"K","T")</f>
        <v>T</v>
      </c>
      <c r="F77" s="310" t="s">
        <v>103</v>
      </c>
      <c r="G77" s="310" t="s">
        <v>502</v>
      </c>
      <c r="H77" s="310" t="s">
        <v>383</v>
      </c>
      <c r="I77" s="310" t="s">
        <v>327</v>
      </c>
      <c r="J77" s="310">
        <v>22</v>
      </c>
      <c r="K77" s="310" t="s">
        <v>107</v>
      </c>
      <c r="L77" s="310" t="s">
        <v>107</v>
      </c>
      <c r="M77" s="310" t="s">
        <v>47</v>
      </c>
      <c r="N77" s="311" t="s">
        <v>47</v>
      </c>
      <c r="O77" s="310" t="s">
        <v>230</v>
      </c>
      <c r="P77" s="311" t="s">
        <v>230</v>
      </c>
      <c r="Q77" s="310">
        <v>4</v>
      </c>
      <c r="R77" s="310">
        <v>3</v>
      </c>
      <c r="S77" s="310">
        <v>2</v>
      </c>
      <c r="T77" s="310">
        <v>2</v>
      </c>
      <c r="U77" s="311">
        <v>2</v>
      </c>
      <c r="V77" s="310">
        <v>5</v>
      </c>
      <c r="W77" s="310">
        <v>4</v>
      </c>
      <c r="X77" s="310">
        <v>6</v>
      </c>
      <c r="Y77" s="310">
        <v>4</v>
      </c>
      <c r="Z77" s="311">
        <v>4</v>
      </c>
      <c r="AA77" s="310">
        <v>1</v>
      </c>
      <c r="AB77" s="310">
        <v>7</v>
      </c>
      <c r="AC77" s="310">
        <v>1</v>
      </c>
      <c r="AD77" s="310" t="s">
        <v>41</v>
      </c>
      <c r="AE77" s="310">
        <v>1</v>
      </c>
      <c r="AF77" s="310" t="s">
        <v>41</v>
      </c>
      <c r="AG77" s="310" t="s">
        <v>41</v>
      </c>
      <c r="AH77" s="310" t="s">
        <v>41</v>
      </c>
      <c r="AI77" s="310">
        <v>3</v>
      </c>
      <c r="AJ77" s="310" t="s">
        <v>41</v>
      </c>
      <c r="AK77" s="311">
        <v>3</v>
      </c>
      <c r="AL77" s="310">
        <v>4</v>
      </c>
      <c r="AM77" s="310">
        <v>6</v>
      </c>
      <c r="AN77" s="311">
        <v>5</v>
      </c>
      <c r="AO77" s="312" t="s">
        <v>41</v>
      </c>
      <c r="AP77" s="311">
        <v>0</v>
      </c>
      <c r="AQ77" s="313">
        <f>AVERAGE(Q77,S77,T77)+IF(OR(Q77&gt;7,AND(Q77&gt;5,T77&gt;5)),0.5,0)+IF(S77&gt;7,0.25,0)+IF(Q77&lt;6,-0.5*(6-Q77),0)</f>
        <v>1.6666666666666665</v>
      </c>
      <c r="AR77" s="314" t="str">
        <f>IF(AQ77&gt;9,"SuperStar",IF(AQ77&gt;8,"Star",IF(AQ77&gt;6.5,"GoodReg",IF(AQ77&gt;5,"Reg",IF(AQ77&gt;4,"Bench","Minors")))))</f>
        <v>Minors</v>
      </c>
      <c r="AS77" s="313">
        <f>AVERAGE(V77,X77,Y77)+IF(OR(V77&gt;7,AND(V77&gt;5,Y77&gt;5)),0.5,0)+IF(X77&gt;7,0.25,0)+IF(V77&lt;6,-0.5*(6-V77),0)</f>
        <v>4.5</v>
      </c>
      <c r="AT77" s="313" t="str">
        <f>IF(AS77&gt;9,"SuperStar",IF(AS77&gt;8,"Star",IF(AS77&gt;6.5,"GoodReg",IF(AS77&gt;5,"Reg",IF(AS77&gt;4,"Bench","Minors")))))</f>
        <v>Bench</v>
      </c>
      <c r="AU77" s="314">
        <f>MIN(AQ77+(MAX(0,25-J77))^1.5,AS77)</f>
        <v>4.5</v>
      </c>
      <c r="AV77" s="314" t="str">
        <f>IF(AU77&gt;9,"SuperStar",IF(AU77&gt;8,"Star",IF(AU77&gt;6.5,"GoodReg",IF(AU77&gt;5,"Reg",IF(AU77&gt;4,"Bench","Minors")))))</f>
        <v>Bench</v>
      </c>
      <c r="AW77" s="315">
        <f>IF(AND(OR(Q77+T77&gt;12,AND(Q77&gt;6,T77&gt;6)),AL77&gt;6,OR(AM77&gt;=AL77,AM77&gt;6)),1,0)</f>
        <v>0</v>
      </c>
      <c r="AX77" s="316">
        <f>IF(OR(AND(Q77&gt;6,U77&gt;6),Q77+T77&gt;12),1,0)</f>
        <v>0</v>
      </c>
      <c r="AY77" s="316">
        <f>IF(AND(Q77&gt;6,S77&gt;6,T77&gt;6),1,0)</f>
        <v>0</v>
      </c>
      <c r="AZ77" s="316">
        <f>IF(AND(S77&gt;7,OR(Q77&gt;6,T77&gt;6)),1,0)</f>
        <v>0</v>
      </c>
      <c r="BA77" s="316">
        <f>IF(AND(S77&gt;6,OR(Q77&gt;6,T77&gt;6)),1,0)</f>
        <v>0</v>
      </c>
      <c r="BB77" s="316">
        <f>IF(AND(OR(Q77&gt;6,S77&gt;6),OR(Q77&gt;6,T77&gt;6)),1,0)</f>
        <v>0</v>
      </c>
      <c r="BC77" s="316">
        <f>IF(AND(Q77&gt;4,OR(Q77&gt;6,S77&gt;6,T77&gt;6)),1,0)</f>
        <v>0</v>
      </c>
      <c r="BD77" s="316">
        <f>IF(AND(Q77&gt;4,OR(Q77&gt;6,R77&gt;6,S77&gt;6,T77&gt;6)),1,0)</f>
        <v>0</v>
      </c>
      <c r="BE77" s="311">
        <f>IF(AND(Q77&gt;4,MAX(Q77:U77)&gt;6),1,0)</f>
        <v>0</v>
      </c>
      <c r="BF77" s="315">
        <f>IF(AND(OR(V77+Y77&gt;12,AND(V77&gt;6,Y77&gt;6)),AL77&gt;6,OR(AM77&gt;=AL77,AM77&gt;6)),1,0)</f>
        <v>0</v>
      </c>
      <c r="BG77" s="316">
        <f>IF(OR(AND(V77&gt;6,Z77&gt;6),V77+Y77&gt;12),1,0)</f>
        <v>0</v>
      </c>
      <c r="BH77" s="316">
        <f>IF(AND(V77&gt;6,X77&gt;6,Y77&gt;6),1,0)</f>
        <v>0</v>
      </c>
      <c r="BI77" s="316">
        <f>IF(AND(X77&gt;7,OR(V77&gt;6,Y77&gt;6)),1,0)</f>
        <v>0</v>
      </c>
      <c r="BJ77" s="316">
        <f>IF(AND(X77&gt;6,OR(V77&gt;6,Y77&gt;6)),1,0)</f>
        <v>0</v>
      </c>
      <c r="BK77" s="316">
        <f>IF(AND(OR(V77&gt;6,X77&gt;6),OR(V77&gt;6,Y77&gt;6)),1,0)</f>
        <v>0</v>
      </c>
      <c r="BL77" s="316">
        <f>IF(AND(V77&gt;4,OR(V77&gt;6,X77&gt;6,Y77&gt;6)),1,0)</f>
        <v>0</v>
      </c>
      <c r="BM77" s="316">
        <f>IF(AND(V77&gt;4,OR(V77&gt;6,W77&gt;6,X77&gt;6,Y77&gt;6)),1,0)</f>
        <v>0</v>
      </c>
      <c r="BN77" s="311">
        <f>IF(AND(V77&gt;4,MAX(V77:Z77)&gt;6),1,0)</f>
        <v>0</v>
      </c>
      <c r="BO77" s="311">
        <f>IF(AVERAGE(AL77:AM77)&gt;9,1,0)+IF(AVERAGE(AL77:AM77)&gt;7,1,0)+IF(AL77&gt;7,1,0)+IF(AM77&gt;7,1,0)+IF(AN77&gt;8,1,0)+IF(AN77&gt;6,1,0)</f>
        <v>0</v>
      </c>
      <c r="BP77" s="317">
        <f>IF(OR(MAX(AD77,AE77,AI77,AK77)&gt;6,MAX(AF77,AG77,AH77,AJ77)&gt;7),2,IF(MAX(AD77:AK77)&gt;4,1,0))</f>
        <v>0</v>
      </c>
      <c r="BQ77" s="310" t="str">
        <f>IF(AP77=1,"Yes","")</f>
        <v/>
      </c>
      <c r="BR77" s="309" t="str">
        <f>IF($A77="ML","There",IF(AND($V77&gt;=6,AVERAGE($X77:$Y77)&gt;=6),"Likely",IF(OR($V77&gt;6,AND($V77=6,AVERAGE($X77:$Y77)&gt;=3),AND($V77&gt;=5,AVERAGE($X77:$Y77)&gt;=5),AVERAGE($V77,$X77:$Y77)&gt;5),"Possible","Unlikely")))</f>
        <v>Possible</v>
      </c>
      <c r="BS77" s="310" t="str">
        <f>IF(OR(AND(Q77&gt;=6,S77+T77&gt;=12),Q77&gt;7),"Start",IF(AND(Q77&gt;=5,S77+T77&gt;=8),"Bench","aack!"))</f>
        <v>aack!</v>
      </c>
      <c r="BT77" s="310" t="str">
        <f>IF(OR(AND(V77&gt;=6,X77+Y77&gt;=12),V77&gt;7),"Start",IF(AND(V77&gt;=5,X77+Y77&gt;=8),"Bench","aack!"))</f>
        <v>Bench</v>
      </c>
      <c r="BU77" s="310" t="str">
        <f>IF(Q77&gt;5,"ML",IF(Q77=5,"AAA",IF(Q77=4,"AA",IF(Q77=3,"A","SS-A"))))</f>
        <v>AA</v>
      </c>
      <c r="BV77" s="310">
        <f>Q77-V77</f>
        <v>-1</v>
      </c>
      <c r="BW77" s="310">
        <f>R77-W77</f>
        <v>-1</v>
      </c>
      <c r="BX77" s="310">
        <f>S77-X77</f>
        <v>-4</v>
      </c>
      <c r="BY77" s="310">
        <f>T77-Y77</f>
        <v>-2</v>
      </c>
      <c r="BZ77" s="310">
        <f>U77-Z77</f>
        <v>-2</v>
      </c>
      <c r="CA77" s="310">
        <f>SUM(BV77:BZ77)</f>
        <v>-10</v>
      </c>
      <c r="CB77" s="310">
        <f>V77+X77+Y77</f>
        <v>15</v>
      </c>
      <c r="CC77" s="310">
        <f>V77+X77</f>
        <v>11</v>
      </c>
      <c r="CD77" s="310">
        <f>V77+Y77</f>
        <v>9</v>
      </c>
      <c r="CE77" s="310" t="str">
        <f>IF(J77&gt;24,"Now - Age",IF(Q77&gt;6,"Now",IF(V77&lt;6,"With Dev",MIN(V77-Q77,7-Q77))))</f>
        <v>With Dev</v>
      </c>
      <c r="CF77" s="325" t="str">
        <f t="shared" si="12"/>
        <v/>
      </c>
      <c r="CG77" s="325" t="str">
        <f t="shared" si="14"/>
        <v/>
      </c>
      <c r="CH77" s="325" t="str">
        <f t="shared" si="15"/>
        <v/>
      </c>
      <c r="CI77" s="325" t="str">
        <f t="shared" si="16"/>
        <v/>
      </c>
      <c r="CJ77" s="325" t="str">
        <f t="shared" si="17"/>
        <v/>
      </c>
      <c r="CK77" s="325" t="str">
        <f t="shared" si="18"/>
        <v/>
      </c>
      <c r="CL77" s="325" t="str">
        <f t="shared" si="19"/>
        <v/>
      </c>
      <c r="CM77" s="325" t="str">
        <f t="shared" si="20"/>
        <v/>
      </c>
      <c r="CN77" s="325" t="str">
        <f t="shared" si="13"/>
        <v>X</v>
      </c>
    </row>
    <row r="78" spans="1:92">
      <c r="A78" s="308" t="s">
        <v>645</v>
      </c>
      <c r="B78" s="309"/>
      <c r="C78" s="310" t="str">
        <f>IF(BH78=1,3,IF(BI78=1,4,IF(BF78=1,1,IF(BJ78=1,5,IF(BG78=1,2,IF(BK78=1,6,IF(BL78=1,7,IF(BM78=1,8,IF(BN78=1,9,"-")))))))))</f>
        <v>-</v>
      </c>
      <c r="D78" s="310" t="str">
        <f>IF(AY78=1,3,IF(AZ78=1,4,IF(AW78=1,1,IF(BA78=1,5,IF(AX78=1,2,IF(BB78=1,6,IF(BC78=1,7,IF(BD78=1,8,IF(BE78=1,9,"-")))))))))</f>
        <v>-</v>
      </c>
      <c r="E78" s="310" t="str">
        <f>IF(OR(OR(O78="Very High",O78="High"),AND(OR(O78="Very High",O78="High",O78="Normal"),OR(P78="Very High",P78="High"))),"K","T")</f>
        <v>T</v>
      </c>
      <c r="F78" s="310" t="s">
        <v>95</v>
      </c>
      <c r="G78" s="310" t="s">
        <v>635</v>
      </c>
      <c r="H78" s="310" t="s">
        <v>383</v>
      </c>
      <c r="I78" s="310" t="s">
        <v>327</v>
      </c>
      <c r="J78" s="310">
        <v>22</v>
      </c>
      <c r="K78" s="310" t="s">
        <v>107</v>
      </c>
      <c r="L78" s="310" t="s">
        <v>107</v>
      </c>
      <c r="M78" s="310" t="s">
        <v>47</v>
      </c>
      <c r="N78" s="311" t="s">
        <v>47</v>
      </c>
      <c r="O78" s="310" t="s">
        <v>230</v>
      </c>
      <c r="P78" s="311" t="s">
        <v>230</v>
      </c>
      <c r="Q78" s="310">
        <v>3</v>
      </c>
      <c r="R78" s="310">
        <v>9</v>
      </c>
      <c r="S78" s="310">
        <v>2</v>
      </c>
      <c r="T78" s="310">
        <v>4</v>
      </c>
      <c r="U78" s="311">
        <v>2</v>
      </c>
      <c r="V78" s="310">
        <v>4</v>
      </c>
      <c r="W78" s="310">
        <v>9</v>
      </c>
      <c r="X78" s="310">
        <v>3</v>
      </c>
      <c r="Y78" s="310">
        <v>4</v>
      </c>
      <c r="Z78" s="311">
        <v>3</v>
      </c>
      <c r="AA78" s="310">
        <v>3</v>
      </c>
      <c r="AB78" s="310">
        <v>3</v>
      </c>
      <c r="AC78" s="310">
        <v>5</v>
      </c>
      <c r="AD78" s="310">
        <v>5</v>
      </c>
      <c r="AE78" s="310" t="s">
        <v>41</v>
      </c>
      <c r="AF78" s="310" t="s">
        <v>41</v>
      </c>
      <c r="AG78" s="310" t="s">
        <v>41</v>
      </c>
      <c r="AH78" s="310" t="s">
        <v>41</v>
      </c>
      <c r="AI78" s="310" t="s">
        <v>41</v>
      </c>
      <c r="AJ78" s="310" t="s">
        <v>41</v>
      </c>
      <c r="AK78" s="311" t="s">
        <v>41</v>
      </c>
      <c r="AL78" s="310">
        <v>2</v>
      </c>
      <c r="AM78" s="310">
        <v>3</v>
      </c>
      <c r="AN78" s="311">
        <v>1</v>
      </c>
      <c r="AO78" s="312" t="s">
        <v>41</v>
      </c>
      <c r="AP78" s="311">
        <v>0</v>
      </c>
      <c r="AQ78" s="313">
        <f>AVERAGE(Q78,S78,T78)+IF(OR(Q78&gt;7,AND(Q78&gt;5,T78&gt;5)),0.5,0)+IF(S78&gt;7,0.25,0)+IF(Q78&lt;6,-0.5*(6-Q78),0)</f>
        <v>1.5</v>
      </c>
      <c r="AR78" s="314" t="str">
        <f>IF(AQ78&gt;9,"SuperStar",IF(AQ78&gt;8,"Star",IF(AQ78&gt;6.5,"GoodReg",IF(AQ78&gt;5,"Reg",IF(AQ78&gt;4,"Bench","Minors")))))</f>
        <v>Minors</v>
      </c>
      <c r="AS78" s="313">
        <f>AVERAGE(V78,X78,Y78)+IF(OR(V78&gt;7,AND(V78&gt;5,Y78&gt;5)),0.5,0)+IF(X78&gt;7,0.25,0)+IF(V78&lt;6,-0.5*(6-V78),0)</f>
        <v>2.6666666666666665</v>
      </c>
      <c r="AT78" s="313" t="str">
        <f>IF(AS78&gt;9,"SuperStar",IF(AS78&gt;8,"Star",IF(AS78&gt;6.5,"GoodReg",IF(AS78&gt;5,"Reg",IF(AS78&gt;4,"Bench","Minors")))))</f>
        <v>Minors</v>
      </c>
      <c r="AU78" s="314">
        <f>MIN(AQ78+(MAX(0,25-J78))^1.5,AS78)</f>
        <v>2.6666666666666665</v>
      </c>
      <c r="AV78" s="314" t="str">
        <f>IF(AU78&gt;9,"SuperStar",IF(AU78&gt;8,"Star",IF(AU78&gt;6.5,"GoodReg",IF(AU78&gt;5,"Reg",IF(AU78&gt;4,"Bench","Minors")))))</f>
        <v>Minors</v>
      </c>
      <c r="AW78" s="315">
        <f>IF(AND(OR(Q78+T78&gt;12,AND(Q78&gt;6,T78&gt;6)),AL78&gt;6,OR(AM78&gt;=AL78,AM78&gt;6)),1,0)</f>
        <v>0</v>
      </c>
      <c r="AX78" s="316">
        <f>IF(OR(AND(Q78&gt;6,U78&gt;6),Q78+T78&gt;12),1,0)</f>
        <v>0</v>
      </c>
      <c r="AY78" s="316">
        <f>IF(AND(Q78&gt;6,S78&gt;6,T78&gt;6),1,0)</f>
        <v>0</v>
      </c>
      <c r="AZ78" s="316">
        <f>IF(AND(S78&gt;7,OR(Q78&gt;6,T78&gt;6)),1,0)</f>
        <v>0</v>
      </c>
      <c r="BA78" s="316">
        <f>IF(AND(S78&gt;6,OR(Q78&gt;6,T78&gt;6)),1,0)</f>
        <v>0</v>
      </c>
      <c r="BB78" s="316">
        <f>IF(AND(OR(Q78&gt;6,S78&gt;6),OR(Q78&gt;6,T78&gt;6)),1,0)</f>
        <v>0</v>
      </c>
      <c r="BC78" s="316">
        <f>IF(AND(Q78&gt;4,OR(Q78&gt;6,S78&gt;6,T78&gt;6)),1,0)</f>
        <v>0</v>
      </c>
      <c r="BD78" s="316">
        <f>IF(AND(Q78&gt;4,OR(Q78&gt;6,R78&gt;6,S78&gt;6,T78&gt;6)),1,0)</f>
        <v>0</v>
      </c>
      <c r="BE78" s="311">
        <f>IF(AND(Q78&gt;4,MAX(Q78:U78)&gt;6),1,0)</f>
        <v>0</v>
      </c>
      <c r="BF78" s="315">
        <f>IF(AND(OR(V78+Y78&gt;12,AND(V78&gt;6,Y78&gt;6)),AL78&gt;6,OR(AM78&gt;=AL78,AM78&gt;6)),1,0)</f>
        <v>0</v>
      </c>
      <c r="BG78" s="316">
        <f>IF(OR(AND(V78&gt;6,Z78&gt;6),V78+Y78&gt;12),1,0)</f>
        <v>0</v>
      </c>
      <c r="BH78" s="316">
        <f>IF(AND(V78&gt;6,X78&gt;6,Y78&gt;6),1,0)</f>
        <v>0</v>
      </c>
      <c r="BI78" s="316">
        <f>IF(AND(X78&gt;7,OR(V78&gt;6,Y78&gt;6)),1,0)</f>
        <v>0</v>
      </c>
      <c r="BJ78" s="316">
        <f>IF(AND(X78&gt;6,OR(V78&gt;6,Y78&gt;6)),1,0)</f>
        <v>0</v>
      </c>
      <c r="BK78" s="316">
        <f>IF(AND(OR(V78&gt;6,X78&gt;6),OR(V78&gt;6,Y78&gt;6)),1,0)</f>
        <v>0</v>
      </c>
      <c r="BL78" s="316">
        <f>IF(AND(V78&gt;4,OR(V78&gt;6,X78&gt;6,Y78&gt;6)),1,0)</f>
        <v>0</v>
      </c>
      <c r="BM78" s="316">
        <f>IF(AND(V78&gt;4,OR(V78&gt;6,W78&gt;6,X78&gt;6,Y78&gt;6)),1,0)</f>
        <v>0</v>
      </c>
      <c r="BN78" s="311">
        <f>IF(AND(V78&gt;4,MAX(V78:Z78)&gt;6),1,0)</f>
        <v>0</v>
      </c>
      <c r="BO78" s="311">
        <f>IF(AVERAGE(AL78:AM78)&gt;9,1,0)+IF(AVERAGE(AL78:AM78)&gt;7,1,0)+IF(AL78&gt;7,1,0)+IF(AM78&gt;7,1,0)+IF(AN78&gt;8,1,0)+IF(AN78&gt;6,1,0)</f>
        <v>0</v>
      </c>
      <c r="BP78" s="317">
        <f>IF(OR(MAX(AD78,AE78,AI78,AK78)&gt;6,MAX(AF78,AG78,AH78,AJ78)&gt;7),2,IF(MAX(AD78:AK78)&gt;4,1,0))</f>
        <v>1</v>
      </c>
      <c r="BQ78" s="310" t="str">
        <f>IF(AP78=1,"Yes","")</f>
        <v/>
      </c>
      <c r="BR78" s="309" t="str">
        <f>IF($A78="ML","There",IF(AND($V78&gt;=6,AVERAGE($X78:$Y78)&gt;=6),"Likely",IF(OR($V78&gt;6,AND($V78=6,AVERAGE($X78:$Y78)&gt;=3),AND($V78&gt;=5,AVERAGE($X78:$Y78)&gt;=5),AVERAGE($V78,$X78:$Y78)&gt;5),"Possible","Unlikely")))</f>
        <v>Unlikely</v>
      </c>
      <c r="BS78" s="310" t="str">
        <f>IF(OR(AND(Q78&gt;=6,S78+T78&gt;=12),Q78&gt;7),"Start",IF(AND(Q78&gt;=5,S78+T78&gt;=8),"Bench","aack!"))</f>
        <v>aack!</v>
      </c>
      <c r="BT78" s="310" t="str">
        <f>IF(OR(AND(V78&gt;=6,X78+Y78&gt;=12),V78&gt;7),"Start",IF(AND(V78&gt;=5,X78+Y78&gt;=8),"Bench","aack!"))</f>
        <v>aack!</v>
      </c>
      <c r="BU78" s="310" t="str">
        <f>IF(Q78&gt;5,"ML",IF(Q78=5,"AAA",IF(Q78=4,"AA",IF(Q78=3,"A","SS-A"))))</f>
        <v>A</v>
      </c>
      <c r="BV78" s="310">
        <f>Q78-V78</f>
        <v>-1</v>
      </c>
      <c r="BW78" s="310">
        <f>R78-W78</f>
        <v>0</v>
      </c>
      <c r="BX78" s="310">
        <f>S78-X78</f>
        <v>-1</v>
      </c>
      <c r="BY78" s="310">
        <f>T78-Y78</f>
        <v>0</v>
      </c>
      <c r="BZ78" s="310">
        <f>U78-Z78</f>
        <v>-1</v>
      </c>
      <c r="CA78" s="310">
        <f>SUM(BV78:BZ78)</f>
        <v>-3</v>
      </c>
      <c r="CB78" s="310">
        <f>V78+X78+Y78</f>
        <v>11</v>
      </c>
      <c r="CC78" s="310">
        <f>V78+X78</f>
        <v>7</v>
      </c>
      <c r="CD78" s="310">
        <f>V78+Y78</f>
        <v>8</v>
      </c>
      <c r="CE78" s="310" t="str">
        <f>IF(J78&gt;24,"Now - Age",IF(Q78&gt;6,"Now",IF(V78&lt;6,"With Dev",MIN(V78-Q78,7-Q78))))</f>
        <v>With Dev</v>
      </c>
      <c r="CF78" s="325" t="str">
        <f t="shared" si="12"/>
        <v>X</v>
      </c>
      <c r="CG78" s="325" t="str">
        <f t="shared" si="14"/>
        <v/>
      </c>
      <c r="CH78" s="325" t="str">
        <f t="shared" si="15"/>
        <v/>
      </c>
      <c r="CI78" s="325" t="str">
        <f t="shared" si="16"/>
        <v/>
      </c>
      <c r="CJ78" s="325" t="str">
        <f t="shared" si="17"/>
        <v/>
      </c>
      <c r="CK78" s="325" t="str">
        <f t="shared" si="18"/>
        <v/>
      </c>
      <c r="CL78" s="325" t="str">
        <f t="shared" si="19"/>
        <v/>
      </c>
      <c r="CM78" s="325" t="str">
        <f t="shared" si="20"/>
        <v/>
      </c>
      <c r="CN78" s="325" t="str">
        <f t="shared" si="13"/>
        <v/>
      </c>
    </row>
    <row r="79" spans="1:92">
      <c r="A79" s="308" t="s">
        <v>327</v>
      </c>
      <c r="B79" s="309" t="s">
        <v>95</v>
      </c>
      <c r="C79" s="310">
        <f>IF(BH79=1,3,IF(BI79=1,4,IF(BF79=1,1,IF(BJ79=1,5,IF(BG79=1,2,IF(BK79=1,6,IF(BL79=1,7,IF(BM79=1,8,IF(BN79=1,9,"-")))))))))</f>
        <v>7</v>
      </c>
      <c r="D79" s="310" t="str">
        <f>IF(AY79=1,3,IF(AZ79=1,4,IF(AW79=1,1,IF(BA79=1,5,IF(AX79=1,2,IF(BB79=1,6,IF(BC79=1,7,IF(BD79=1,8,IF(BE79=1,9,"-")))))))))</f>
        <v>-</v>
      </c>
      <c r="E79" s="310" t="str">
        <f>IF(OR(OR(O79="Very High",O79="High"),AND(OR(O79="Very High",O79="High",O79="Normal"),OR(P79="Very High",P79="High"))),"K","T")</f>
        <v>T</v>
      </c>
      <c r="F79" s="310" t="s">
        <v>95</v>
      </c>
      <c r="G79" s="310" t="s">
        <v>630</v>
      </c>
      <c r="H79" s="310" t="s">
        <v>383</v>
      </c>
      <c r="I79" s="310" t="s">
        <v>327</v>
      </c>
      <c r="J79" s="310">
        <v>21</v>
      </c>
      <c r="K79" s="310" t="s">
        <v>107</v>
      </c>
      <c r="L79" s="310" t="s">
        <v>107</v>
      </c>
      <c r="M79" s="310" t="s">
        <v>47</v>
      </c>
      <c r="N79" s="311" t="s">
        <v>47</v>
      </c>
      <c r="O79" s="310" t="s">
        <v>230</v>
      </c>
      <c r="P79" s="311" t="s">
        <v>230</v>
      </c>
      <c r="Q79" s="310">
        <v>3</v>
      </c>
      <c r="R79" s="310">
        <v>4</v>
      </c>
      <c r="S79" s="310">
        <v>2</v>
      </c>
      <c r="T79" s="310">
        <v>3</v>
      </c>
      <c r="U79" s="311">
        <v>2</v>
      </c>
      <c r="V79" s="310">
        <v>5</v>
      </c>
      <c r="W79" s="310">
        <v>8</v>
      </c>
      <c r="X79" s="310">
        <v>7</v>
      </c>
      <c r="Y79" s="310">
        <v>5</v>
      </c>
      <c r="Z79" s="311">
        <v>5</v>
      </c>
      <c r="AA79" s="310">
        <v>6</v>
      </c>
      <c r="AB79" s="310">
        <v>6</v>
      </c>
      <c r="AC79" s="310">
        <v>8</v>
      </c>
      <c r="AD79" s="310">
        <v>6</v>
      </c>
      <c r="AE79" s="310" t="s">
        <v>41</v>
      </c>
      <c r="AF79" s="310" t="s">
        <v>41</v>
      </c>
      <c r="AG79" s="310" t="s">
        <v>41</v>
      </c>
      <c r="AH79" s="310" t="s">
        <v>41</v>
      </c>
      <c r="AI79" s="310" t="s">
        <v>41</v>
      </c>
      <c r="AJ79" s="310" t="s">
        <v>41</v>
      </c>
      <c r="AK79" s="311" t="s">
        <v>41</v>
      </c>
      <c r="AL79" s="310">
        <v>5</v>
      </c>
      <c r="AM79" s="310">
        <v>4</v>
      </c>
      <c r="AN79" s="311">
        <v>3</v>
      </c>
      <c r="AO79" s="312" t="s">
        <v>41</v>
      </c>
      <c r="AP79" s="311">
        <v>0</v>
      </c>
      <c r="AQ79" s="313">
        <f>AVERAGE(Q79,S79,T79)+IF(OR(Q79&gt;7,AND(Q79&gt;5,T79&gt;5)),0.5,0)+IF(S79&gt;7,0.25,0)+IF(Q79&lt;6,-0.5*(6-Q79),0)</f>
        <v>1.1666666666666665</v>
      </c>
      <c r="AR79" s="314" t="str">
        <f>IF(AQ79&gt;9,"SuperStar",IF(AQ79&gt;8,"Star",IF(AQ79&gt;6.5,"GoodReg",IF(AQ79&gt;5,"Reg",IF(AQ79&gt;4,"Bench","Minors")))))</f>
        <v>Minors</v>
      </c>
      <c r="AS79" s="313">
        <f>AVERAGE(V79,X79,Y79)+IF(OR(V79&gt;7,AND(V79&gt;5,Y79&gt;5)),0.5,0)+IF(X79&gt;7,0.25,0)+IF(V79&lt;6,-0.5*(6-V79),0)</f>
        <v>5.166666666666667</v>
      </c>
      <c r="AT79" s="313" t="str">
        <f>IF(AS79&gt;9,"SuperStar",IF(AS79&gt;8,"Star",IF(AS79&gt;6.5,"GoodReg",IF(AS79&gt;5,"Reg",IF(AS79&gt;4,"Bench","Minors")))))</f>
        <v>Reg</v>
      </c>
      <c r="AU79" s="314">
        <f>MIN(AQ79+(MAX(0,25-J79))^1.5,AS79)</f>
        <v>5.166666666666667</v>
      </c>
      <c r="AV79" s="314" t="str">
        <f>IF(AU79&gt;9,"SuperStar",IF(AU79&gt;8,"Star",IF(AU79&gt;6.5,"GoodReg",IF(AU79&gt;5,"Reg",IF(AU79&gt;4,"Bench","Minors")))))</f>
        <v>Reg</v>
      </c>
      <c r="AW79" s="315">
        <f>IF(AND(OR(Q79+T79&gt;12,AND(Q79&gt;6,T79&gt;6)),AL79&gt;6,OR(AM79&gt;=AL79,AM79&gt;6)),1,0)</f>
        <v>0</v>
      </c>
      <c r="AX79" s="316">
        <f>IF(OR(AND(Q79&gt;6,U79&gt;6),Q79+T79&gt;12),1,0)</f>
        <v>0</v>
      </c>
      <c r="AY79" s="316">
        <f>IF(AND(Q79&gt;6,S79&gt;6,T79&gt;6),1,0)</f>
        <v>0</v>
      </c>
      <c r="AZ79" s="316">
        <f>IF(AND(S79&gt;7,OR(Q79&gt;6,T79&gt;6)),1,0)</f>
        <v>0</v>
      </c>
      <c r="BA79" s="316">
        <f>IF(AND(S79&gt;6,OR(Q79&gt;6,T79&gt;6)),1,0)</f>
        <v>0</v>
      </c>
      <c r="BB79" s="316">
        <f>IF(AND(OR(Q79&gt;6,S79&gt;6),OR(Q79&gt;6,T79&gt;6)),1,0)</f>
        <v>0</v>
      </c>
      <c r="BC79" s="316">
        <f>IF(AND(Q79&gt;4,OR(Q79&gt;6,S79&gt;6,T79&gt;6)),1,0)</f>
        <v>0</v>
      </c>
      <c r="BD79" s="316">
        <f>IF(AND(Q79&gt;4,OR(Q79&gt;6,R79&gt;6,S79&gt;6,T79&gt;6)),1,0)</f>
        <v>0</v>
      </c>
      <c r="BE79" s="311">
        <f>IF(AND(Q79&gt;4,MAX(Q79:U79)&gt;6),1,0)</f>
        <v>0</v>
      </c>
      <c r="BF79" s="315">
        <f>IF(AND(OR(V79+Y79&gt;12,AND(V79&gt;6,Y79&gt;6)),AL79&gt;6,OR(AM79&gt;=AL79,AM79&gt;6)),1,0)</f>
        <v>0</v>
      </c>
      <c r="BG79" s="316">
        <f>IF(OR(AND(V79&gt;6,Z79&gt;6),V79+Y79&gt;12),1,0)</f>
        <v>0</v>
      </c>
      <c r="BH79" s="316">
        <f>IF(AND(V79&gt;6,X79&gt;6,Y79&gt;6),1,0)</f>
        <v>0</v>
      </c>
      <c r="BI79" s="316">
        <f>IF(AND(X79&gt;7,OR(V79&gt;6,Y79&gt;6)),1,0)</f>
        <v>0</v>
      </c>
      <c r="BJ79" s="316">
        <f>IF(AND(X79&gt;6,OR(V79&gt;6,Y79&gt;6)),1,0)</f>
        <v>0</v>
      </c>
      <c r="BK79" s="316">
        <f>IF(AND(OR(V79&gt;6,X79&gt;6),OR(V79&gt;6,Y79&gt;6)),1,0)</f>
        <v>0</v>
      </c>
      <c r="BL79" s="316">
        <f>IF(AND(V79&gt;4,OR(V79&gt;6,X79&gt;6,Y79&gt;6)),1,0)</f>
        <v>1</v>
      </c>
      <c r="BM79" s="316">
        <f>IF(AND(V79&gt;4,OR(V79&gt;6,W79&gt;6,X79&gt;6,Y79&gt;6)),1,0)</f>
        <v>1</v>
      </c>
      <c r="BN79" s="311">
        <f>IF(AND(V79&gt;4,MAX(V79:Z79)&gt;6),1,0)</f>
        <v>1</v>
      </c>
      <c r="BO79" s="311">
        <f>IF(AVERAGE(AL79:AM79)&gt;9,1,0)+IF(AVERAGE(AL79:AM79)&gt;7,1,0)+IF(AL79&gt;7,1,0)+IF(AM79&gt;7,1,0)+IF(AN79&gt;8,1,0)+IF(AN79&gt;6,1,0)</f>
        <v>0</v>
      </c>
      <c r="BP79" s="317">
        <f>IF(OR(MAX(AD79,AE79,AI79,AK79)&gt;6,MAX(AF79,AG79,AH79,AJ79)&gt;7),2,IF(MAX(AD79:AK79)&gt;4,1,0))</f>
        <v>1</v>
      </c>
      <c r="BQ79" s="310" t="str">
        <f>IF(AP79=1,"Yes","")</f>
        <v/>
      </c>
      <c r="BR79" s="309" t="str">
        <f>IF($A79="ML","There",IF(AND($V79&gt;=6,AVERAGE($X79:$Y79)&gt;=6),"Likely",IF(OR($V79&gt;6,AND($V79=6,AVERAGE($X79:$Y79)&gt;=3),AND($V79&gt;=5,AVERAGE($X79:$Y79)&gt;=5),AVERAGE($V79,$X79:$Y79)&gt;5),"Possible","Unlikely")))</f>
        <v>Possible</v>
      </c>
      <c r="BS79" s="310" t="str">
        <f>IF(OR(AND(Q79&gt;=6,S79+T79&gt;=12),Q79&gt;7),"Start",IF(AND(Q79&gt;=5,S79+T79&gt;=8),"Bench","aack!"))</f>
        <v>aack!</v>
      </c>
      <c r="BT79" s="310" t="str">
        <f>IF(OR(AND(V79&gt;=6,X79+Y79&gt;=12),V79&gt;7),"Start",IF(AND(V79&gt;=5,X79+Y79&gt;=8),"Bench","aack!"))</f>
        <v>Bench</v>
      </c>
      <c r="BU79" s="310" t="str">
        <f>IF(Q79&gt;5,"ML",IF(Q79=5,"AAA",IF(Q79=4,"AA",IF(Q79=3,"A","SS-A"))))</f>
        <v>A</v>
      </c>
      <c r="BV79" s="310">
        <f>Q79-V79</f>
        <v>-2</v>
      </c>
      <c r="BW79" s="310">
        <f>R79-W79</f>
        <v>-4</v>
      </c>
      <c r="BX79" s="310">
        <f>S79-X79</f>
        <v>-5</v>
      </c>
      <c r="BY79" s="310">
        <f>T79-Y79</f>
        <v>-2</v>
      </c>
      <c r="BZ79" s="310">
        <f>U79-Z79</f>
        <v>-3</v>
      </c>
      <c r="CA79" s="310">
        <f>SUM(BV79:BZ79)</f>
        <v>-16</v>
      </c>
      <c r="CB79" s="310">
        <f>V79+X79+Y79</f>
        <v>17</v>
      </c>
      <c r="CC79" s="310">
        <f>V79+X79</f>
        <v>12</v>
      </c>
      <c r="CD79" s="310">
        <f>V79+Y79</f>
        <v>10</v>
      </c>
      <c r="CE79" s="310" t="str">
        <f>IF(J79&gt;24,"Now - Age",IF(Q79&gt;6,"Now",IF(V79&lt;6,"With Dev",MIN(V79-Q79,7-Q79))))</f>
        <v>With Dev</v>
      </c>
      <c r="CF79" s="325" t="str">
        <f t="shared" si="12"/>
        <v>X</v>
      </c>
      <c r="CG79" s="325" t="str">
        <f t="shared" si="14"/>
        <v/>
      </c>
      <c r="CH79" s="325" t="str">
        <f t="shared" si="15"/>
        <v/>
      </c>
      <c r="CI79" s="325" t="str">
        <f t="shared" si="16"/>
        <v/>
      </c>
      <c r="CJ79" s="325" t="str">
        <f t="shared" si="17"/>
        <v/>
      </c>
      <c r="CK79" s="325" t="str">
        <f t="shared" si="18"/>
        <v/>
      </c>
      <c r="CL79" s="325" t="str">
        <f t="shared" si="19"/>
        <v/>
      </c>
      <c r="CM79" s="325" t="str">
        <f t="shared" si="20"/>
        <v/>
      </c>
      <c r="CN79" s="325" t="str">
        <f t="shared" si="13"/>
        <v/>
      </c>
    </row>
    <row r="80" spans="1:92">
      <c r="A80" s="308" t="s">
        <v>327</v>
      </c>
      <c r="B80" s="309" t="s">
        <v>99</v>
      </c>
      <c r="C80" s="310" t="str">
        <f>IF(BH80=1,3,IF(BI80=1,4,IF(BF80=1,1,IF(BJ80=1,5,IF(BG80=1,2,IF(BK80=1,6,IF(BL80=1,7,IF(BM80=1,8,IF(BN80=1,9,"-")))))))))</f>
        <v>-</v>
      </c>
      <c r="D80" s="310" t="str">
        <f>IF(AY80=1,3,IF(AZ80=1,4,IF(AW80=1,1,IF(BA80=1,5,IF(AX80=1,2,IF(BB80=1,6,IF(BC80=1,7,IF(BD80=1,8,IF(BE80=1,9,"-")))))))))</f>
        <v>-</v>
      </c>
      <c r="E80" s="310" t="str">
        <f>IF(OR(OR(O80="Very High",O80="High"),AND(OR(O80="Very High",O80="High",O80="Normal"),OR(P80="Very High",P80="High"))),"K","T")</f>
        <v>T</v>
      </c>
      <c r="F80" s="310" t="s">
        <v>100</v>
      </c>
      <c r="G80" s="310" t="s">
        <v>438</v>
      </c>
      <c r="H80" s="310" t="s">
        <v>383</v>
      </c>
      <c r="I80" s="310" t="s">
        <v>327</v>
      </c>
      <c r="J80" s="310">
        <v>23</v>
      </c>
      <c r="K80" s="310" t="s">
        <v>107</v>
      </c>
      <c r="L80" s="310" t="s">
        <v>107</v>
      </c>
      <c r="M80" s="310" t="s">
        <v>47</v>
      </c>
      <c r="N80" s="311" t="s">
        <v>47</v>
      </c>
      <c r="O80" s="310" t="s">
        <v>232</v>
      </c>
      <c r="P80" s="311" t="s">
        <v>231</v>
      </c>
      <c r="Q80" s="310">
        <v>3</v>
      </c>
      <c r="R80" s="310">
        <v>5</v>
      </c>
      <c r="S80" s="310">
        <v>2</v>
      </c>
      <c r="T80" s="310">
        <v>3</v>
      </c>
      <c r="U80" s="311">
        <v>2</v>
      </c>
      <c r="V80" s="310">
        <v>4</v>
      </c>
      <c r="W80" s="310">
        <v>6</v>
      </c>
      <c r="X80" s="310">
        <v>2</v>
      </c>
      <c r="Y80" s="310">
        <v>3</v>
      </c>
      <c r="Z80" s="311">
        <v>4</v>
      </c>
      <c r="AA80" s="310">
        <v>7</v>
      </c>
      <c r="AB80" s="310">
        <v>6</v>
      </c>
      <c r="AC80" s="310">
        <v>1</v>
      </c>
      <c r="AD80" s="310" t="s">
        <v>41</v>
      </c>
      <c r="AE80" s="310">
        <v>8</v>
      </c>
      <c r="AF80" s="310">
        <v>9</v>
      </c>
      <c r="AG80" s="310">
        <v>7</v>
      </c>
      <c r="AH80" s="310">
        <v>10</v>
      </c>
      <c r="AI80" s="310" t="s">
        <v>41</v>
      </c>
      <c r="AJ80" s="310" t="s">
        <v>41</v>
      </c>
      <c r="AK80" s="311">
        <v>7</v>
      </c>
      <c r="AL80" s="310">
        <v>6</v>
      </c>
      <c r="AM80" s="310">
        <v>7</v>
      </c>
      <c r="AN80" s="311">
        <v>6</v>
      </c>
      <c r="AO80" s="312" t="s">
        <v>41</v>
      </c>
      <c r="AP80" s="311">
        <v>0</v>
      </c>
      <c r="AQ80" s="313">
        <f>AVERAGE(Q80,S80,T80)+IF(OR(Q80&gt;7,AND(Q80&gt;5,T80&gt;5)),0.5,0)+IF(S80&gt;7,0.25,0)+IF(Q80&lt;6,-0.5*(6-Q80),0)</f>
        <v>1.1666666666666665</v>
      </c>
      <c r="AR80" s="314" t="str">
        <f>IF(AQ80&gt;9,"SuperStar",IF(AQ80&gt;8,"Star",IF(AQ80&gt;6.5,"GoodReg",IF(AQ80&gt;5,"Reg",IF(AQ80&gt;4,"Bench","Minors")))))</f>
        <v>Minors</v>
      </c>
      <c r="AS80" s="313">
        <f>AVERAGE(V80,X80,Y80)+IF(OR(V80&gt;7,AND(V80&gt;5,Y80&gt;5)),0.5,0)+IF(X80&gt;7,0.25,0)+IF(V80&lt;6,-0.5*(6-V80),0)</f>
        <v>2</v>
      </c>
      <c r="AT80" s="313" t="str">
        <f>IF(AS80&gt;9,"SuperStar",IF(AS80&gt;8,"Star",IF(AS80&gt;6.5,"GoodReg",IF(AS80&gt;5,"Reg",IF(AS80&gt;4,"Bench","Minors")))))</f>
        <v>Minors</v>
      </c>
      <c r="AU80" s="314">
        <f>MIN(AQ80+(MAX(0,25-J80))^1.5,AS80)</f>
        <v>2</v>
      </c>
      <c r="AV80" s="314" t="str">
        <f>IF(AU80&gt;9,"SuperStar",IF(AU80&gt;8,"Star",IF(AU80&gt;6.5,"GoodReg",IF(AU80&gt;5,"Reg",IF(AU80&gt;4,"Bench","Minors")))))</f>
        <v>Minors</v>
      </c>
      <c r="AW80" s="315">
        <f>IF(AND(OR(Q80+T80&gt;12,AND(Q80&gt;6,T80&gt;6)),AL80&gt;6,OR(AM80&gt;=AL80,AM80&gt;6)),1,0)</f>
        <v>0</v>
      </c>
      <c r="AX80" s="316">
        <f>IF(OR(AND(Q80&gt;6,U80&gt;6),Q80+T80&gt;12),1,0)</f>
        <v>0</v>
      </c>
      <c r="AY80" s="316">
        <f>IF(AND(Q80&gt;6,S80&gt;6,T80&gt;6),1,0)</f>
        <v>0</v>
      </c>
      <c r="AZ80" s="316">
        <f>IF(AND(S80&gt;7,OR(Q80&gt;6,T80&gt;6)),1,0)</f>
        <v>0</v>
      </c>
      <c r="BA80" s="316">
        <f>IF(AND(S80&gt;6,OR(Q80&gt;6,T80&gt;6)),1,0)</f>
        <v>0</v>
      </c>
      <c r="BB80" s="316">
        <f>IF(AND(OR(Q80&gt;6,S80&gt;6),OR(Q80&gt;6,T80&gt;6)),1,0)</f>
        <v>0</v>
      </c>
      <c r="BC80" s="316">
        <f>IF(AND(Q80&gt;4,OR(Q80&gt;6,S80&gt;6,T80&gt;6)),1,0)</f>
        <v>0</v>
      </c>
      <c r="BD80" s="316">
        <f>IF(AND(Q80&gt;4,OR(Q80&gt;6,R80&gt;6,S80&gt;6,T80&gt;6)),1,0)</f>
        <v>0</v>
      </c>
      <c r="BE80" s="311">
        <f>IF(AND(Q80&gt;4,MAX(Q80:U80)&gt;6),1,0)</f>
        <v>0</v>
      </c>
      <c r="BF80" s="315">
        <f>IF(AND(OR(V80+Y80&gt;12,AND(V80&gt;6,Y80&gt;6)),AL80&gt;6,OR(AM80&gt;=AL80,AM80&gt;6)),1,0)</f>
        <v>0</v>
      </c>
      <c r="BG80" s="316">
        <f>IF(OR(AND(V80&gt;6,Z80&gt;6),V80+Y80&gt;12),1,0)</f>
        <v>0</v>
      </c>
      <c r="BH80" s="316">
        <f>IF(AND(V80&gt;6,X80&gt;6,Y80&gt;6),1,0)</f>
        <v>0</v>
      </c>
      <c r="BI80" s="316">
        <f>IF(AND(X80&gt;7,OR(V80&gt;6,Y80&gt;6)),1,0)</f>
        <v>0</v>
      </c>
      <c r="BJ80" s="316">
        <f>IF(AND(X80&gt;6,OR(V80&gt;6,Y80&gt;6)),1,0)</f>
        <v>0</v>
      </c>
      <c r="BK80" s="316">
        <f>IF(AND(OR(V80&gt;6,X80&gt;6),OR(V80&gt;6,Y80&gt;6)),1,0)</f>
        <v>0</v>
      </c>
      <c r="BL80" s="316">
        <f>IF(AND(V80&gt;4,OR(V80&gt;6,X80&gt;6,Y80&gt;6)),1,0)</f>
        <v>0</v>
      </c>
      <c r="BM80" s="316">
        <f>IF(AND(V80&gt;4,OR(V80&gt;6,W80&gt;6,X80&gt;6,Y80&gt;6)),1,0)</f>
        <v>0</v>
      </c>
      <c r="BN80" s="311">
        <f>IF(AND(V80&gt;4,MAX(V80:Z80)&gt;6),1,0)</f>
        <v>0</v>
      </c>
      <c r="BO80" s="311">
        <f>IF(AVERAGE(AL80:AM80)&gt;9,1,0)+IF(AVERAGE(AL80:AM80)&gt;7,1,0)+IF(AL80&gt;7,1,0)+IF(AM80&gt;7,1,0)+IF(AN80&gt;8,1,0)+IF(AN80&gt;6,1,0)</f>
        <v>0</v>
      </c>
      <c r="BP80" s="317">
        <f>IF(OR(MAX(AD80,AE80,AI80,AK80)&gt;6,MAX(AF80,AG80,AH80,AJ80)&gt;7),2,IF(MAX(AD80:AK80)&gt;4,1,0))</f>
        <v>2</v>
      </c>
      <c r="BQ80" s="310" t="str">
        <f>IF(AP80=1,"Yes","")</f>
        <v/>
      </c>
      <c r="BR80" s="309" t="str">
        <f>IF($A80="ML","There",IF(AND($V80&gt;=6,AVERAGE($X80:$Y80)&gt;=6),"Likely",IF(OR($V80&gt;6,AND($V80=6,AVERAGE($X80:$Y80)&gt;=3),AND($V80&gt;=5,AVERAGE($X80:$Y80)&gt;=5),AVERAGE($V80,$X80:$Y80)&gt;5),"Possible","Unlikely")))</f>
        <v>Unlikely</v>
      </c>
      <c r="BS80" s="310" t="str">
        <f>IF(OR(AND(Q80&gt;=6,S80+T80&gt;=12),Q80&gt;7),"Start",IF(AND(Q80&gt;=5,S80+T80&gt;=8),"Bench","aack!"))</f>
        <v>aack!</v>
      </c>
      <c r="BT80" s="310" t="str">
        <f>IF(OR(AND(V80&gt;=6,X80+Y80&gt;=12),V80&gt;7),"Start",IF(AND(V80&gt;=5,X80+Y80&gt;=8),"Bench","aack!"))</f>
        <v>aack!</v>
      </c>
      <c r="BU80" s="310" t="str">
        <f>IF(Q80&gt;5,"ML",IF(Q80=5,"AAA",IF(Q80=4,"AA",IF(Q80=3,"A","SS-A"))))</f>
        <v>A</v>
      </c>
      <c r="BV80" s="310">
        <f>Q80-V80</f>
        <v>-1</v>
      </c>
      <c r="BW80" s="310">
        <f>R80-W80</f>
        <v>-1</v>
      </c>
      <c r="BX80" s="310">
        <f>S80-X80</f>
        <v>0</v>
      </c>
      <c r="BY80" s="310">
        <f>T80-Y80</f>
        <v>0</v>
      </c>
      <c r="BZ80" s="310">
        <f>U80-Z80</f>
        <v>-2</v>
      </c>
      <c r="CA80" s="310">
        <f>SUM(BV80:BZ80)</f>
        <v>-4</v>
      </c>
      <c r="CB80" s="310">
        <f>V80+X80+Y80</f>
        <v>9</v>
      </c>
      <c r="CC80" s="310">
        <f>V80+X80</f>
        <v>6</v>
      </c>
      <c r="CD80" s="310">
        <f>V80+Y80</f>
        <v>7</v>
      </c>
      <c r="CE80" s="310" t="str">
        <f>IF(J80&gt;24,"Now - Age",IF(Q80&gt;6,"Now",IF(V80&lt;6,"With Dev",MIN(V80-Q80,7-Q80))))</f>
        <v>With Dev</v>
      </c>
      <c r="CF80" s="325" t="str">
        <f t="shared" si="12"/>
        <v/>
      </c>
      <c r="CG80" s="325" t="str">
        <f t="shared" si="14"/>
        <v>X</v>
      </c>
      <c r="CH80" s="325" t="str">
        <f t="shared" si="15"/>
        <v>X</v>
      </c>
      <c r="CI80" s="325" t="str">
        <f t="shared" si="16"/>
        <v>X</v>
      </c>
      <c r="CJ80" s="325" t="str">
        <f t="shared" si="17"/>
        <v>X</v>
      </c>
      <c r="CK80" s="325" t="str">
        <f t="shared" si="18"/>
        <v/>
      </c>
      <c r="CL80" s="325" t="str">
        <f t="shared" si="19"/>
        <v/>
      </c>
      <c r="CM80" s="325" t="str">
        <f t="shared" si="20"/>
        <v/>
      </c>
      <c r="CN80" s="325" t="str">
        <f t="shared" si="13"/>
        <v/>
      </c>
    </row>
    <row r="81" spans="1:92">
      <c r="A81" s="308" t="s">
        <v>327</v>
      </c>
      <c r="B81" s="309" t="s">
        <v>103</v>
      </c>
      <c r="C81" s="310">
        <f>IF(BH81=1,3,IF(BI81=1,4,IF(BF81=1,1,IF(BJ81=1,5,IF(BG81=1,2,IF(BK81=1,6,IF(BL81=1,7,IF(BM81=1,8,IF(BN81=1,9,"-")))))))))</f>
        <v>8</v>
      </c>
      <c r="D81" s="310" t="str">
        <f>IF(AY81=1,3,IF(AZ81=1,4,IF(AW81=1,1,IF(BA81=1,5,IF(AX81=1,2,IF(BB81=1,6,IF(BC81=1,7,IF(BD81=1,8,IF(BE81=1,9,"-")))))))))</f>
        <v>-</v>
      </c>
      <c r="E81" s="310" t="str">
        <f>IF(OR(OR(O81="Very High",O81="High"),AND(OR(O81="Very High",O81="High",O81="Normal"),OR(P81="Very High",P81="High"))),"K","T")</f>
        <v>T</v>
      </c>
      <c r="F81" s="310" t="s">
        <v>102</v>
      </c>
      <c r="G81" s="310" t="s">
        <v>633</v>
      </c>
      <c r="H81" s="310" t="s">
        <v>383</v>
      </c>
      <c r="I81" s="310" t="s">
        <v>327</v>
      </c>
      <c r="J81" s="310">
        <v>21</v>
      </c>
      <c r="K81" s="310" t="s">
        <v>106</v>
      </c>
      <c r="L81" s="310" t="s">
        <v>106</v>
      </c>
      <c r="M81" s="310" t="s">
        <v>47</v>
      </c>
      <c r="N81" s="311" t="s">
        <v>47</v>
      </c>
      <c r="O81" s="310" t="s">
        <v>231</v>
      </c>
      <c r="P81" s="311" t="s">
        <v>228</v>
      </c>
      <c r="Q81" s="310">
        <v>3</v>
      </c>
      <c r="R81" s="310">
        <v>6</v>
      </c>
      <c r="S81" s="310">
        <v>2</v>
      </c>
      <c r="T81" s="310">
        <v>3</v>
      </c>
      <c r="U81" s="311">
        <v>3</v>
      </c>
      <c r="V81" s="310">
        <v>5</v>
      </c>
      <c r="W81" s="310">
        <v>8</v>
      </c>
      <c r="X81" s="310">
        <v>5</v>
      </c>
      <c r="Y81" s="310">
        <v>4</v>
      </c>
      <c r="Z81" s="311">
        <v>5</v>
      </c>
      <c r="AA81" s="310">
        <v>1</v>
      </c>
      <c r="AB81" s="310">
        <v>3</v>
      </c>
      <c r="AC81" s="310">
        <v>1</v>
      </c>
      <c r="AD81" s="310" t="s">
        <v>41</v>
      </c>
      <c r="AE81" s="310">
        <v>1</v>
      </c>
      <c r="AF81" s="310" t="s">
        <v>41</v>
      </c>
      <c r="AG81" s="310" t="s">
        <v>41</v>
      </c>
      <c r="AH81" s="310" t="s">
        <v>41</v>
      </c>
      <c r="AI81" s="310">
        <v>1</v>
      </c>
      <c r="AJ81" s="310">
        <v>2</v>
      </c>
      <c r="AK81" s="311">
        <v>5</v>
      </c>
      <c r="AL81" s="310">
        <v>6</v>
      </c>
      <c r="AM81" s="310">
        <v>6</v>
      </c>
      <c r="AN81" s="311">
        <v>5</v>
      </c>
      <c r="AO81" s="312" t="s">
        <v>41</v>
      </c>
      <c r="AP81" s="311">
        <v>0</v>
      </c>
      <c r="AQ81" s="313">
        <f>AVERAGE(Q81,S81,T81)+IF(OR(Q81&gt;7,AND(Q81&gt;5,T81&gt;5)),0.5,0)+IF(S81&gt;7,0.25,0)+IF(Q81&lt;6,-0.5*(6-Q81),0)</f>
        <v>1.1666666666666665</v>
      </c>
      <c r="AR81" s="314" t="str">
        <f>IF(AQ81&gt;9,"SuperStar",IF(AQ81&gt;8,"Star",IF(AQ81&gt;6.5,"GoodReg",IF(AQ81&gt;5,"Reg",IF(AQ81&gt;4,"Bench","Minors")))))</f>
        <v>Minors</v>
      </c>
      <c r="AS81" s="313">
        <f>AVERAGE(V81,X81,Y81)+IF(OR(V81&gt;7,AND(V81&gt;5,Y81&gt;5)),0.5,0)+IF(X81&gt;7,0.25,0)+IF(V81&lt;6,-0.5*(6-V81),0)</f>
        <v>4.166666666666667</v>
      </c>
      <c r="AT81" s="313" t="str">
        <f>IF(AS81&gt;9,"SuperStar",IF(AS81&gt;8,"Star",IF(AS81&gt;6.5,"GoodReg",IF(AS81&gt;5,"Reg",IF(AS81&gt;4,"Bench","Minors")))))</f>
        <v>Bench</v>
      </c>
      <c r="AU81" s="314">
        <f>MIN(AQ81+(MAX(0,25-J81))^1.5,AS81)</f>
        <v>4.166666666666667</v>
      </c>
      <c r="AV81" s="314" t="str">
        <f>IF(AU81&gt;9,"SuperStar",IF(AU81&gt;8,"Star",IF(AU81&gt;6.5,"GoodReg",IF(AU81&gt;5,"Reg",IF(AU81&gt;4,"Bench","Minors")))))</f>
        <v>Bench</v>
      </c>
      <c r="AW81" s="315">
        <f>IF(AND(OR(Q81+T81&gt;12,AND(Q81&gt;6,T81&gt;6)),AL81&gt;6,OR(AM81&gt;=AL81,AM81&gt;6)),1,0)</f>
        <v>0</v>
      </c>
      <c r="AX81" s="316">
        <f>IF(OR(AND(Q81&gt;6,U81&gt;6),Q81+T81&gt;12),1,0)</f>
        <v>0</v>
      </c>
      <c r="AY81" s="316">
        <f>IF(AND(Q81&gt;6,S81&gt;6,T81&gt;6),1,0)</f>
        <v>0</v>
      </c>
      <c r="AZ81" s="316">
        <f>IF(AND(S81&gt;7,OR(Q81&gt;6,T81&gt;6)),1,0)</f>
        <v>0</v>
      </c>
      <c r="BA81" s="316">
        <f>IF(AND(S81&gt;6,OR(Q81&gt;6,T81&gt;6)),1,0)</f>
        <v>0</v>
      </c>
      <c r="BB81" s="316">
        <f>IF(AND(OR(Q81&gt;6,S81&gt;6),OR(Q81&gt;6,T81&gt;6)),1,0)</f>
        <v>0</v>
      </c>
      <c r="BC81" s="316">
        <f>IF(AND(Q81&gt;4,OR(Q81&gt;6,S81&gt;6,T81&gt;6)),1,0)</f>
        <v>0</v>
      </c>
      <c r="BD81" s="316">
        <f>IF(AND(Q81&gt;4,OR(Q81&gt;6,R81&gt;6,S81&gt;6,T81&gt;6)),1,0)</f>
        <v>0</v>
      </c>
      <c r="BE81" s="311">
        <f>IF(AND(Q81&gt;4,MAX(Q81:U81)&gt;6),1,0)</f>
        <v>0</v>
      </c>
      <c r="BF81" s="315">
        <f>IF(AND(OR(V81+Y81&gt;12,AND(V81&gt;6,Y81&gt;6)),AL81&gt;6,OR(AM81&gt;=AL81,AM81&gt;6)),1,0)</f>
        <v>0</v>
      </c>
      <c r="BG81" s="316">
        <f>IF(OR(AND(V81&gt;6,Z81&gt;6),V81+Y81&gt;12),1,0)</f>
        <v>0</v>
      </c>
      <c r="BH81" s="316">
        <f>IF(AND(V81&gt;6,X81&gt;6,Y81&gt;6),1,0)</f>
        <v>0</v>
      </c>
      <c r="BI81" s="316">
        <f>IF(AND(X81&gt;7,OR(V81&gt;6,Y81&gt;6)),1,0)</f>
        <v>0</v>
      </c>
      <c r="BJ81" s="316">
        <f>IF(AND(X81&gt;6,OR(V81&gt;6,Y81&gt;6)),1,0)</f>
        <v>0</v>
      </c>
      <c r="BK81" s="316">
        <f>IF(AND(OR(V81&gt;6,X81&gt;6),OR(V81&gt;6,Y81&gt;6)),1,0)</f>
        <v>0</v>
      </c>
      <c r="BL81" s="316">
        <f>IF(AND(V81&gt;4,OR(V81&gt;6,X81&gt;6,Y81&gt;6)),1,0)</f>
        <v>0</v>
      </c>
      <c r="BM81" s="316">
        <f>IF(AND(V81&gt;4,OR(V81&gt;6,W81&gt;6,X81&gt;6,Y81&gt;6)),1,0)</f>
        <v>1</v>
      </c>
      <c r="BN81" s="311">
        <f>IF(AND(V81&gt;4,MAX(V81:Z81)&gt;6),1,0)</f>
        <v>1</v>
      </c>
      <c r="BO81" s="311">
        <f>IF(AVERAGE(AL81:AM81)&gt;9,1,0)+IF(AVERAGE(AL81:AM81)&gt;7,1,0)+IF(AL81&gt;7,1,0)+IF(AM81&gt;7,1,0)+IF(AN81&gt;8,1,0)+IF(AN81&gt;6,1,0)</f>
        <v>0</v>
      </c>
      <c r="BP81" s="317">
        <f>IF(OR(MAX(AD81,AE81,AI81,AK81)&gt;6,MAX(AF81,AG81,AH81,AJ81)&gt;7),2,IF(MAX(AD81:AK81)&gt;4,1,0))</f>
        <v>1</v>
      </c>
      <c r="BQ81" s="310" t="str">
        <f>IF(AP81=1,"Yes","")</f>
        <v/>
      </c>
      <c r="BR81" s="309" t="str">
        <f>IF($A81="ML","There",IF(AND($V81&gt;=6,AVERAGE($X81:$Y81)&gt;=6),"Likely",IF(OR($V81&gt;6,AND($V81=6,AVERAGE($X81:$Y81)&gt;=3),AND($V81&gt;=5,AVERAGE($X81:$Y81)&gt;=5),AVERAGE($V81,$X81:$Y81)&gt;5),"Possible","Unlikely")))</f>
        <v>Unlikely</v>
      </c>
      <c r="BS81" s="310" t="str">
        <f>IF(OR(AND(Q81&gt;=6,S81+T81&gt;=12),Q81&gt;7),"Start",IF(AND(Q81&gt;=5,S81+T81&gt;=8),"Bench","aack!"))</f>
        <v>aack!</v>
      </c>
      <c r="BT81" s="310" t="str">
        <f>IF(OR(AND(V81&gt;=6,X81+Y81&gt;=12),V81&gt;7),"Start",IF(AND(V81&gt;=5,X81+Y81&gt;=8),"Bench","aack!"))</f>
        <v>Bench</v>
      </c>
      <c r="BU81" s="310" t="str">
        <f>IF(Q81&gt;5,"ML",IF(Q81=5,"AAA",IF(Q81=4,"AA",IF(Q81=3,"A","SS-A"))))</f>
        <v>A</v>
      </c>
      <c r="BV81" s="310">
        <f>Q81-V81</f>
        <v>-2</v>
      </c>
      <c r="BW81" s="310">
        <f>R81-W81</f>
        <v>-2</v>
      </c>
      <c r="BX81" s="310">
        <f>S81-X81</f>
        <v>-3</v>
      </c>
      <c r="BY81" s="310">
        <f>T81-Y81</f>
        <v>-1</v>
      </c>
      <c r="BZ81" s="310">
        <f>U81-Z81</f>
        <v>-2</v>
      </c>
      <c r="CA81" s="310">
        <f>SUM(BV81:BZ81)</f>
        <v>-10</v>
      </c>
      <c r="CB81" s="310">
        <f>V81+X81+Y81</f>
        <v>14</v>
      </c>
      <c r="CC81" s="310">
        <f>V81+X81</f>
        <v>10</v>
      </c>
      <c r="CD81" s="310">
        <f>V81+Y81</f>
        <v>9</v>
      </c>
      <c r="CE81" s="310" t="str">
        <f>IF(J81&gt;24,"Now - Age",IF(Q81&gt;6,"Now",IF(V81&lt;6,"With Dev",MIN(V81-Q81,7-Q81))))</f>
        <v>With Dev</v>
      </c>
      <c r="CF81" s="325" t="str">
        <f t="shared" si="12"/>
        <v/>
      </c>
      <c r="CG81" s="325" t="str">
        <f t="shared" si="14"/>
        <v/>
      </c>
      <c r="CH81" s="325" t="str">
        <f t="shared" si="15"/>
        <v/>
      </c>
      <c r="CI81" s="325" t="str">
        <f t="shared" si="16"/>
        <v/>
      </c>
      <c r="CJ81" s="325" t="str">
        <f t="shared" si="17"/>
        <v/>
      </c>
      <c r="CK81" s="325" t="str">
        <f t="shared" si="18"/>
        <v/>
      </c>
      <c r="CL81" s="325" t="str">
        <f t="shared" si="19"/>
        <v/>
      </c>
      <c r="CM81" s="325" t="str">
        <f t="shared" si="20"/>
        <v/>
      </c>
      <c r="CN81" s="325" t="str">
        <f t="shared" si="13"/>
        <v>X</v>
      </c>
    </row>
    <row r="82" spans="1:92">
      <c r="A82" s="308" t="s">
        <v>327</v>
      </c>
      <c r="B82" s="309" t="s">
        <v>98</v>
      </c>
      <c r="C82" s="310" t="str">
        <f>IF(BH82=1,3,IF(BI82=1,4,IF(BF82=1,1,IF(BJ82=1,5,IF(BG82=1,2,IF(BK82=1,6,IF(BL82=1,7,IF(BM82=1,8,IF(BN82=1,9,"-")))))))))</f>
        <v>-</v>
      </c>
      <c r="D82" s="310" t="str">
        <f>IF(AY82=1,3,IF(AZ82=1,4,IF(AW82=1,1,IF(BA82=1,5,IF(AX82=1,2,IF(BB82=1,6,IF(BC82=1,7,IF(BD82=1,8,IF(BE82=1,9,"-")))))))))</f>
        <v>-</v>
      </c>
      <c r="E82" s="310" t="str">
        <f>IF(OR(OR(O82="Very High",O82="High"),AND(OR(O82="Very High",O82="High",O82="Normal"),OR(P82="Very High",P82="High"))),"K","T")</f>
        <v>T</v>
      </c>
      <c r="F82" s="310" t="s">
        <v>98</v>
      </c>
      <c r="G82" s="310" t="s">
        <v>437</v>
      </c>
      <c r="H82" s="310" t="s">
        <v>383</v>
      </c>
      <c r="I82" s="310" t="s">
        <v>327</v>
      </c>
      <c r="J82" s="310">
        <v>23</v>
      </c>
      <c r="K82" s="310" t="s">
        <v>107</v>
      </c>
      <c r="L82" s="310" t="s">
        <v>107</v>
      </c>
      <c r="M82" s="310" t="s">
        <v>47</v>
      </c>
      <c r="N82" s="311" t="s">
        <v>47</v>
      </c>
      <c r="O82" s="310" t="s">
        <v>230</v>
      </c>
      <c r="P82" s="311" t="s">
        <v>231</v>
      </c>
      <c r="Q82" s="310">
        <v>3</v>
      </c>
      <c r="R82" s="310">
        <v>3</v>
      </c>
      <c r="S82" s="310">
        <v>1</v>
      </c>
      <c r="T82" s="310">
        <v>2</v>
      </c>
      <c r="U82" s="311">
        <v>2</v>
      </c>
      <c r="V82" s="310">
        <v>4</v>
      </c>
      <c r="W82" s="310">
        <v>6</v>
      </c>
      <c r="X82" s="310">
        <v>2</v>
      </c>
      <c r="Y82" s="310">
        <v>3</v>
      </c>
      <c r="Z82" s="311">
        <v>3</v>
      </c>
      <c r="AA82" s="310">
        <v>2</v>
      </c>
      <c r="AB82" s="310">
        <v>3</v>
      </c>
      <c r="AC82" s="310">
        <v>1</v>
      </c>
      <c r="AD82" s="310" t="s">
        <v>41</v>
      </c>
      <c r="AE82" s="310">
        <v>10</v>
      </c>
      <c r="AF82" s="310">
        <v>10</v>
      </c>
      <c r="AG82" s="310" t="s">
        <v>41</v>
      </c>
      <c r="AH82" s="310" t="s">
        <v>41</v>
      </c>
      <c r="AI82" s="310">
        <v>1</v>
      </c>
      <c r="AJ82" s="310" t="s">
        <v>41</v>
      </c>
      <c r="AK82" s="311" t="s">
        <v>41</v>
      </c>
      <c r="AL82" s="310">
        <v>6</v>
      </c>
      <c r="AM82" s="310">
        <v>7</v>
      </c>
      <c r="AN82" s="311">
        <v>7</v>
      </c>
      <c r="AO82" s="312" t="s">
        <v>41</v>
      </c>
      <c r="AP82" s="311">
        <v>0</v>
      </c>
      <c r="AQ82" s="313">
        <f>AVERAGE(Q82,S82,T82)+IF(OR(Q82&gt;7,AND(Q82&gt;5,T82&gt;5)),0.5,0)+IF(S82&gt;7,0.25,0)+IF(Q82&lt;6,-0.5*(6-Q82),0)</f>
        <v>0.5</v>
      </c>
      <c r="AR82" s="314" t="str">
        <f>IF(AQ82&gt;9,"SuperStar",IF(AQ82&gt;8,"Star",IF(AQ82&gt;6.5,"GoodReg",IF(AQ82&gt;5,"Reg",IF(AQ82&gt;4,"Bench","Minors")))))</f>
        <v>Minors</v>
      </c>
      <c r="AS82" s="313">
        <f>AVERAGE(V82,X82,Y82)+IF(OR(V82&gt;7,AND(V82&gt;5,Y82&gt;5)),0.5,0)+IF(X82&gt;7,0.25,0)+IF(V82&lt;6,-0.5*(6-V82),0)</f>
        <v>2</v>
      </c>
      <c r="AT82" s="313" t="str">
        <f>IF(AS82&gt;9,"SuperStar",IF(AS82&gt;8,"Star",IF(AS82&gt;6.5,"GoodReg",IF(AS82&gt;5,"Reg",IF(AS82&gt;4,"Bench","Minors")))))</f>
        <v>Minors</v>
      </c>
      <c r="AU82" s="314">
        <f>MIN(AQ82+(MAX(0,25-J82))^1.5,AS82)</f>
        <v>2</v>
      </c>
      <c r="AV82" s="314" t="str">
        <f>IF(AU82&gt;9,"SuperStar",IF(AU82&gt;8,"Star",IF(AU82&gt;6.5,"GoodReg",IF(AU82&gt;5,"Reg",IF(AU82&gt;4,"Bench","Minors")))))</f>
        <v>Minors</v>
      </c>
      <c r="AW82" s="315">
        <f>IF(AND(OR(Q82+T82&gt;12,AND(Q82&gt;6,T82&gt;6)),AL82&gt;6,OR(AM82&gt;=AL82,AM82&gt;6)),1,0)</f>
        <v>0</v>
      </c>
      <c r="AX82" s="316">
        <f>IF(OR(AND(Q82&gt;6,U82&gt;6),Q82+T82&gt;12),1,0)</f>
        <v>0</v>
      </c>
      <c r="AY82" s="316">
        <f>IF(AND(Q82&gt;6,S82&gt;6,T82&gt;6),1,0)</f>
        <v>0</v>
      </c>
      <c r="AZ82" s="316">
        <f>IF(AND(S82&gt;7,OR(Q82&gt;6,T82&gt;6)),1,0)</f>
        <v>0</v>
      </c>
      <c r="BA82" s="316">
        <f>IF(AND(S82&gt;6,OR(Q82&gt;6,T82&gt;6)),1,0)</f>
        <v>0</v>
      </c>
      <c r="BB82" s="316">
        <f>IF(AND(OR(Q82&gt;6,S82&gt;6),OR(Q82&gt;6,T82&gt;6)),1,0)</f>
        <v>0</v>
      </c>
      <c r="BC82" s="316">
        <f>IF(AND(Q82&gt;4,OR(Q82&gt;6,S82&gt;6,T82&gt;6)),1,0)</f>
        <v>0</v>
      </c>
      <c r="BD82" s="316">
        <f>IF(AND(Q82&gt;4,OR(Q82&gt;6,R82&gt;6,S82&gt;6,T82&gt;6)),1,0)</f>
        <v>0</v>
      </c>
      <c r="BE82" s="311">
        <f>IF(AND(Q82&gt;4,MAX(Q82:U82)&gt;6),1,0)</f>
        <v>0</v>
      </c>
      <c r="BF82" s="315">
        <f>IF(AND(OR(V82+Y82&gt;12,AND(V82&gt;6,Y82&gt;6)),AL82&gt;6,OR(AM82&gt;=AL82,AM82&gt;6)),1,0)</f>
        <v>0</v>
      </c>
      <c r="BG82" s="316">
        <f>IF(OR(AND(V82&gt;6,Z82&gt;6),V82+Y82&gt;12),1,0)</f>
        <v>0</v>
      </c>
      <c r="BH82" s="316">
        <f>IF(AND(V82&gt;6,X82&gt;6,Y82&gt;6),1,0)</f>
        <v>0</v>
      </c>
      <c r="BI82" s="316">
        <f>IF(AND(X82&gt;7,OR(V82&gt;6,Y82&gt;6)),1,0)</f>
        <v>0</v>
      </c>
      <c r="BJ82" s="316">
        <f>IF(AND(X82&gt;6,OR(V82&gt;6,Y82&gt;6)),1,0)</f>
        <v>0</v>
      </c>
      <c r="BK82" s="316">
        <f>IF(AND(OR(V82&gt;6,X82&gt;6),OR(V82&gt;6,Y82&gt;6)),1,0)</f>
        <v>0</v>
      </c>
      <c r="BL82" s="316">
        <f>IF(AND(V82&gt;4,OR(V82&gt;6,X82&gt;6,Y82&gt;6)),1,0)</f>
        <v>0</v>
      </c>
      <c r="BM82" s="316">
        <f>IF(AND(V82&gt;4,OR(V82&gt;6,W82&gt;6,X82&gt;6,Y82&gt;6)),1,0)</f>
        <v>0</v>
      </c>
      <c r="BN82" s="311">
        <f>IF(AND(V82&gt;4,MAX(V82:Z82)&gt;6),1,0)</f>
        <v>0</v>
      </c>
      <c r="BO82" s="311">
        <f>IF(AVERAGE(AL82:AM82)&gt;9,1,0)+IF(AVERAGE(AL82:AM82)&gt;7,1,0)+IF(AL82&gt;7,1,0)+IF(AM82&gt;7,1,0)+IF(AN82&gt;8,1,0)+IF(AN82&gt;6,1,0)</f>
        <v>1</v>
      </c>
      <c r="BP82" s="317">
        <f>IF(OR(MAX(AD82,AE82,AI82,AK82)&gt;6,MAX(AF82,AG82,AH82,AJ82)&gt;7),2,IF(MAX(AD82:AK82)&gt;4,1,0))</f>
        <v>2</v>
      </c>
      <c r="BQ82" s="310" t="str">
        <f>IF(AP82=1,"Yes","")</f>
        <v/>
      </c>
      <c r="BR82" s="309" t="str">
        <f>IF($A82="ML","There",IF(AND($V82&gt;=6,AVERAGE($X82:$Y82)&gt;=6),"Likely",IF(OR($V82&gt;6,AND($V82=6,AVERAGE($X82:$Y82)&gt;=3),AND($V82&gt;=5,AVERAGE($X82:$Y82)&gt;=5),AVERAGE($V82,$X82:$Y82)&gt;5),"Possible","Unlikely")))</f>
        <v>Unlikely</v>
      </c>
      <c r="BS82" s="310" t="str">
        <f>IF(OR(AND(Q82&gt;=6,S82+T82&gt;=12),Q82&gt;7),"Start",IF(AND(Q82&gt;=5,S82+T82&gt;=8),"Bench","aack!"))</f>
        <v>aack!</v>
      </c>
      <c r="BT82" s="310" t="str">
        <f>IF(OR(AND(V82&gt;=6,X82+Y82&gt;=12),V82&gt;7),"Start",IF(AND(V82&gt;=5,X82+Y82&gt;=8),"Bench","aack!"))</f>
        <v>aack!</v>
      </c>
      <c r="BU82" s="310" t="str">
        <f>IF(Q82&gt;5,"ML",IF(Q82=5,"AAA",IF(Q82=4,"AA",IF(Q82=3,"A","SS-A"))))</f>
        <v>A</v>
      </c>
      <c r="BV82" s="310">
        <f>Q82-V82</f>
        <v>-1</v>
      </c>
      <c r="BW82" s="310">
        <f>R82-W82</f>
        <v>-3</v>
      </c>
      <c r="BX82" s="310">
        <f>S82-X82</f>
        <v>-1</v>
      </c>
      <c r="BY82" s="310">
        <f>T82-Y82</f>
        <v>-1</v>
      </c>
      <c r="BZ82" s="310">
        <f>U82-Z82</f>
        <v>-1</v>
      </c>
      <c r="CA82" s="310">
        <f>SUM(BV82:BZ82)</f>
        <v>-7</v>
      </c>
      <c r="CB82" s="310">
        <f>V82+X82+Y82</f>
        <v>9</v>
      </c>
      <c r="CC82" s="310">
        <f>V82+X82</f>
        <v>6</v>
      </c>
      <c r="CD82" s="310">
        <f>V82+Y82</f>
        <v>7</v>
      </c>
      <c r="CE82" s="310" t="str">
        <f>IF(J82&gt;24,"Now - Age",IF(Q82&gt;6,"Now",IF(V82&lt;6,"With Dev",MIN(V82-Q82,7-Q82))))</f>
        <v>With Dev</v>
      </c>
      <c r="CF82" s="325" t="str">
        <f t="shared" si="12"/>
        <v/>
      </c>
      <c r="CG82" s="325" t="str">
        <f t="shared" si="14"/>
        <v>X</v>
      </c>
      <c r="CH82" s="325" t="str">
        <f t="shared" si="15"/>
        <v>X</v>
      </c>
      <c r="CI82" s="325" t="str">
        <f t="shared" si="16"/>
        <v/>
      </c>
      <c r="CJ82" s="325" t="str">
        <f t="shared" si="17"/>
        <v/>
      </c>
      <c r="CK82" s="325" t="str">
        <f t="shared" si="18"/>
        <v/>
      </c>
      <c r="CL82" s="325" t="str">
        <f t="shared" si="19"/>
        <v/>
      </c>
      <c r="CM82" s="325" t="str">
        <f t="shared" si="20"/>
        <v/>
      </c>
      <c r="CN82" s="325" t="str">
        <f t="shared" si="13"/>
        <v/>
      </c>
    </row>
    <row r="83" spans="1:92">
      <c r="A83" s="308" t="s">
        <v>327</v>
      </c>
      <c r="B83" s="309" t="s">
        <v>103</v>
      </c>
      <c r="C83" s="310">
        <f>IF(BH83=1,3,IF(BI83=1,4,IF(BF83=1,1,IF(BJ83=1,5,IF(BG83=1,2,IF(BK83=1,6,IF(BL83=1,7,IF(BM83=1,8,IF(BN83=1,9,"-")))))))))</f>
        <v>5</v>
      </c>
      <c r="D83" s="310" t="str">
        <f>IF(AY83=1,3,IF(AZ83=1,4,IF(AW83=1,1,IF(BA83=1,5,IF(AX83=1,2,IF(BB83=1,6,IF(BC83=1,7,IF(BD83=1,8,IF(BE83=1,9,"-")))))))))</f>
        <v>-</v>
      </c>
      <c r="E83" s="310" t="str">
        <f>IF(OR(OR(O83="Very High",O83="High"),AND(OR(O83="Very High",O83="High",O83="Normal"),OR(P83="Very High",P83="High"))),"K","T")</f>
        <v>T</v>
      </c>
      <c r="F83" s="310" t="s">
        <v>101</v>
      </c>
      <c r="G83" s="310" t="s">
        <v>496</v>
      </c>
      <c r="H83" s="310" t="s">
        <v>383</v>
      </c>
      <c r="I83" s="310" t="s">
        <v>327</v>
      </c>
      <c r="J83" s="310">
        <v>19</v>
      </c>
      <c r="K83" s="310" t="s">
        <v>107</v>
      </c>
      <c r="L83" s="310" t="s">
        <v>107</v>
      </c>
      <c r="M83" s="310" t="s">
        <v>47</v>
      </c>
      <c r="N83" s="311" t="s">
        <v>48</v>
      </c>
      <c r="O83" s="310" t="s">
        <v>231</v>
      </c>
      <c r="P83" s="311" t="s">
        <v>228</v>
      </c>
      <c r="Q83" s="310">
        <v>3</v>
      </c>
      <c r="R83" s="310">
        <v>3</v>
      </c>
      <c r="S83" s="310">
        <v>1</v>
      </c>
      <c r="T83" s="310">
        <v>2</v>
      </c>
      <c r="U83" s="311">
        <v>2</v>
      </c>
      <c r="V83" s="310">
        <v>9</v>
      </c>
      <c r="W83" s="310">
        <v>7</v>
      </c>
      <c r="X83" s="310">
        <v>7</v>
      </c>
      <c r="Y83" s="310">
        <v>3</v>
      </c>
      <c r="Z83" s="311">
        <v>10</v>
      </c>
      <c r="AA83" s="310">
        <v>1</v>
      </c>
      <c r="AB83" s="310">
        <v>7</v>
      </c>
      <c r="AC83" s="310">
        <v>1</v>
      </c>
      <c r="AD83" s="310" t="s">
        <v>41</v>
      </c>
      <c r="AE83" s="310" t="s">
        <v>41</v>
      </c>
      <c r="AF83" s="310" t="s">
        <v>41</v>
      </c>
      <c r="AG83" s="310" t="s">
        <v>41</v>
      </c>
      <c r="AH83" s="310" t="s">
        <v>41</v>
      </c>
      <c r="AI83" s="310">
        <v>4</v>
      </c>
      <c r="AJ83" s="310">
        <v>1</v>
      </c>
      <c r="AK83" s="311">
        <v>2</v>
      </c>
      <c r="AL83" s="310">
        <v>8</v>
      </c>
      <c r="AM83" s="310">
        <v>10</v>
      </c>
      <c r="AN83" s="311">
        <v>10</v>
      </c>
      <c r="AO83" s="312" t="s">
        <v>41</v>
      </c>
      <c r="AP83" s="311">
        <v>0</v>
      </c>
      <c r="AQ83" s="313">
        <f>AVERAGE(Q83,S83,T83)+IF(OR(Q83&gt;7,AND(Q83&gt;5,T83&gt;5)),0.5,0)+IF(S83&gt;7,0.25,0)+IF(Q83&lt;6,-0.5*(6-Q83),0)</f>
        <v>0.5</v>
      </c>
      <c r="AR83" s="314" t="str">
        <f>IF(AQ83&gt;9,"SuperStar",IF(AQ83&gt;8,"Star",IF(AQ83&gt;6.5,"GoodReg",IF(AQ83&gt;5,"Reg",IF(AQ83&gt;4,"Bench","Minors")))))</f>
        <v>Minors</v>
      </c>
      <c r="AS83" s="313">
        <f>AVERAGE(V83,X83,Y83)+IF(OR(V83&gt;7,AND(V83&gt;5,Y83&gt;5)),0.5,0)+IF(X83&gt;7,0.25,0)+IF(V83&lt;6,-0.5*(6-V83),0)</f>
        <v>6.833333333333333</v>
      </c>
      <c r="AT83" s="313" t="str">
        <f>IF(AS83&gt;9,"SuperStar",IF(AS83&gt;8,"Star",IF(AS83&gt;6.5,"GoodReg",IF(AS83&gt;5,"Reg",IF(AS83&gt;4,"Bench","Minors")))))</f>
        <v>GoodReg</v>
      </c>
      <c r="AU83" s="314">
        <f>MIN(AQ83+(MAX(0,25-J83))^1.5,AS83)</f>
        <v>6.833333333333333</v>
      </c>
      <c r="AV83" s="314" t="str">
        <f>IF(AU83&gt;9,"SuperStar",IF(AU83&gt;8,"Star",IF(AU83&gt;6.5,"GoodReg",IF(AU83&gt;5,"Reg",IF(AU83&gt;4,"Bench","Minors")))))</f>
        <v>GoodReg</v>
      </c>
      <c r="AW83" s="315">
        <f>IF(AND(OR(Q83+T83&gt;12,AND(Q83&gt;6,T83&gt;6)),AL83&gt;6,OR(AM83&gt;=AL83,AM83&gt;6)),1,0)</f>
        <v>0</v>
      </c>
      <c r="AX83" s="316">
        <f>IF(OR(AND(Q83&gt;6,U83&gt;6),Q83+T83&gt;12),1,0)</f>
        <v>0</v>
      </c>
      <c r="AY83" s="316">
        <f>IF(AND(Q83&gt;6,S83&gt;6,T83&gt;6),1,0)</f>
        <v>0</v>
      </c>
      <c r="AZ83" s="316">
        <f>IF(AND(S83&gt;7,OR(Q83&gt;6,T83&gt;6)),1,0)</f>
        <v>0</v>
      </c>
      <c r="BA83" s="316">
        <f>IF(AND(S83&gt;6,OR(Q83&gt;6,T83&gt;6)),1,0)</f>
        <v>0</v>
      </c>
      <c r="BB83" s="316">
        <f>IF(AND(OR(Q83&gt;6,S83&gt;6),OR(Q83&gt;6,T83&gt;6)),1,0)</f>
        <v>0</v>
      </c>
      <c r="BC83" s="316">
        <f>IF(AND(Q83&gt;4,OR(Q83&gt;6,S83&gt;6,T83&gt;6)),1,0)</f>
        <v>0</v>
      </c>
      <c r="BD83" s="316">
        <f>IF(AND(Q83&gt;4,OR(Q83&gt;6,R83&gt;6,S83&gt;6,T83&gt;6)),1,0)</f>
        <v>0</v>
      </c>
      <c r="BE83" s="311">
        <f>IF(AND(Q83&gt;4,MAX(Q83:U83)&gt;6),1,0)</f>
        <v>0</v>
      </c>
      <c r="BF83" s="315">
        <f>IF(AND(OR(V83+Y83&gt;12,AND(V83&gt;6,Y83&gt;6)),AL83&gt;6,OR(AM83&gt;=AL83,AM83&gt;6)),1,0)</f>
        <v>0</v>
      </c>
      <c r="BG83" s="316">
        <f>IF(OR(AND(V83&gt;6,Z83&gt;6),V83+Y83&gt;12),1,0)</f>
        <v>1</v>
      </c>
      <c r="BH83" s="316">
        <f>IF(AND(V83&gt;6,X83&gt;6,Y83&gt;6),1,0)</f>
        <v>0</v>
      </c>
      <c r="BI83" s="316">
        <f>IF(AND(X83&gt;7,OR(V83&gt;6,Y83&gt;6)),1,0)</f>
        <v>0</v>
      </c>
      <c r="BJ83" s="316">
        <f>IF(AND(X83&gt;6,OR(V83&gt;6,Y83&gt;6)),1,0)</f>
        <v>1</v>
      </c>
      <c r="BK83" s="316">
        <f>IF(AND(OR(V83&gt;6,X83&gt;6),OR(V83&gt;6,Y83&gt;6)),1,0)</f>
        <v>1</v>
      </c>
      <c r="BL83" s="316">
        <f>IF(AND(V83&gt;4,OR(V83&gt;6,X83&gt;6,Y83&gt;6)),1,0)</f>
        <v>1</v>
      </c>
      <c r="BM83" s="316">
        <f>IF(AND(V83&gt;4,OR(V83&gt;6,W83&gt;6,X83&gt;6,Y83&gt;6)),1,0)</f>
        <v>1</v>
      </c>
      <c r="BN83" s="311">
        <f>IF(AND(V83&gt;4,MAX(V83:Z83)&gt;6),1,0)</f>
        <v>1</v>
      </c>
      <c r="BO83" s="311">
        <f>IF(AVERAGE(AL83:AM83)&gt;9,1,0)+IF(AVERAGE(AL83:AM83)&gt;7,1,0)+IF(AL83&gt;7,1,0)+IF(AM83&gt;7,1,0)+IF(AN83&gt;8,1,0)+IF(AN83&gt;6,1,0)</f>
        <v>5</v>
      </c>
      <c r="BP83" s="317">
        <f>IF(OR(MAX(AD83,AE83,AI83,AK83)&gt;6,MAX(AF83,AG83,AH83,AJ83)&gt;7),2,IF(MAX(AD83:AK83)&gt;4,1,0))</f>
        <v>0</v>
      </c>
      <c r="BQ83" s="310" t="str">
        <f>IF(AP83=1,"Yes","")</f>
        <v/>
      </c>
      <c r="BR83" s="309" t="str">
        <f>IF($A83="ML","There",IF(AND($V83&gt;=6,AVERAGE($X83:$Y83)&gt;=6),"Likely",IF(OR($V83&gt;6,AND($V83=6,AVERAGE($X83:$Y83)&gt;=3),AND($V83&gt;=5,AVERAGE($X83:$Y83)&gt;=5),AVERAGE($V83,$X83:$Y83)&gt;5),"Possible","Unlikely")))</f>
        <v>Possible</v>
      </c>
      <c r="BS83" s="310" t="str">
        <f>IF(OR(AND(Q83&gt;=6,S83+T83&gt;=12),Q83&gt;7),"Start",IF(AND(Q83&gt;=5,S83+T83&gt;=8),"Bench","aack!"))</f>
        <v>aack!</v>
      </c>
      <c r="BT83" s="310" t="str">
        <f>IF(OR(AND(V83&gt;=6,X83+Y83&gt;=12),V83&gt;7),"Start",IF(AND(V83&gt;=5,X83+Y83&gt;=8),"Bench","aack!"))</f>
        <v>Start</v>
      </c>
      <c r="BU83" s="310" t="str">
        <f>IF(Q83&gt;5,"ML",IF(Q83=5,"AAA",IF(Q83=4,"AA",IF(Q83=3,"A","SS-A"))))</f>
        <v>A</v>
      </c>
      <c r="BV83" s="310">
        <f>Q83-V83</f>
        <v>-6</v>
      </c>
      <c r="BW83" s="310">
        <f>R83-W83</f>
        <v>-4</v>
      </c>
      <c r="BX83" s="310">
        <f>S83-X83</f>
        <v>-6</v>
      </c>
      <c r="BY83" s="310">
        <f>T83-Y83</f>
        <v>-1</v>
      </c>
      <c r="BZ83" s="310">
        <f>U83-Z83</f>
        <v>-8</v>
      </c>
      <c r="CA83" s="310">
        <f>SUM(BV83:BZ83)</f>
        <v>-25</v>
      </c>
      <c r="CB83" s="310">
        <f>V83+X83+Y83</f>
        <v>19</v>
      </c>
      <c r="CC83" s="310">
        <f>V83+X83</f>
        <v>16</v>
      </c>
      <c r="CD83" s="310">
        <f>V83+Y83</f>
        <v>12</v>
      </c>
      <c r="CE83" s="310">
        <f>IF(J83&gt;24,"Now - Age",IF(Q83&gt;6,"Now",IF(V83&lt;6,"With Dev",MIN(V83-Q83,7-Q83))))</f>
        <v>4</v>
      </c>
      <c r="CF83" s="325" t="str">
        <f t="shared" si="12"/>
        <v/>
      </c>
      <c r="CG83" s="325" t="str">
        <f t="shared" si="14"/>
        <v/>
      </c>
      <c r="CH83" s="325" t="str">
        <f t="shared" si="15"/>
        <v/>
      </c>
      <c r="CI83" s="325" t="str">
        <f t="shared" si="16"/>
        <v/>
      </c>
      <c r="CJ83" s="325" t="str">
        <f t="shared" si="17"/>
        <v/>
      </c>
      <c r="CK83" s="325" t="str">
        <f t="shared" si="18"/>
        <v>X</v>
      </c>
      <c r="CL83" s="325" t="str">
        <f t="shared" si="19"/>
        <v/>
      </c>
      <c r="CM83" s="325" t="str">
        <f t="shared" si="20"/>
        <v/>
      </c>
      <c r="CN83" s="325" t="str">
        <f t="shared" si="13"/>
        <v/>
      </c>
    </row>
    <row r="84" spans="1:92">
      <c r="A84" s="308" t="s">
        <v>327</v>
      </c>
      <c r="B84" s="309"/>
      <c r="C84" s="310" t="str">
        <f>IF(BH84=1,3,IF(BI84=1,4,IF(BF84=1,1,IF(BJ84=1,5,IF(BG84=1,2,IF(BK84=1,6,IF(BL84=1,7,IF(BM84=1,8,IF(BN84=1,9,"-")))))))))</f>
        <v>-</v>
      </c>
      <c r="D84" s="310" t="str">
        <f>IF(AY84=1,3,IF(AZ84=1,4,IF(AW84=1,1,IF(BA84=1,5,IF(AX84=1,2,IF(BB84=1,6,IF(BC84=1,7,IF(BD84=1,8,IF(BE84=1,9,"-")))))))))</f>
        <v>-</v>
      </c>
      <c r="E84" s="310" t="str">
        <f>IF(OR(OR(O84="Very High",O84="High"),AND(OR(O84="Very High",O84="High",O84="Normal"),OR(P84="Very High",P84="High"))),"K","T")</f>
        <v>T</v>
      </c>
      <c r="F84" s="310" t="s">
        <v>95</v>
      </c>
      <c r="G84" s="310" t="s">
        <v>418</v>
      </c>
      <c r="H84" s="310" t="s">
        <v>383</v>
      </c>
      <c r="I84" s="310" t="s">
        <v>327</v>
      </c>
      <c r="J84" s="310">
        <v>19</v>
      </c>
      <c r="K84" s="310" t="s">
        <v>107</v>
      </c>
      <c r="L84" s="310" t="s">
        <v>107</v>
      </c>
      <c r="M84" s="310" t="s">
        <v>47</v>
      </c>
      <c r="N84" s="311" t="s">
        <v>47</v>
      </c>
      <c r="O84" s="310" t="s">
        <v>232</v>
      </c>
      <c r="P84" s="311" t="s">
        <v>230</v>
      </c>
      <c r="Q84" s="310">
        <v>2</v>
      </c>
      <c r="R84" s="310">
        <v>3</v>
      </c>
      <c r="S84" s="310">
        <v>2</v>
      </c>
      <c r="T84" s="310">
        <v>2</v>
      </c>
      <c r="U84" s="311">
        <v>1</v>
      </c>
      <c r="V84" s="310">
        <v>2</v>
      </c>
      <c r="W84" s="310">
        <v>3</v>
      </c>
      <c r="X84" s="310">
        <v>3</v>
      </c>
      <c r="Y84" s="310">
        <v>2</v>
      </c>
      <c r="Z84" s="311">
        <v>4</v>
      </c>
      <c r="AA84" s="310">
        <v>5</v>
      </c>
      <c r="AB84" s="310">
        <v>5</v>
      </c>
      <c r="AC84" s="310">
        <v>7</v>
      </c>
      <c r="AD84" s="310">
        <v>3</v>
      </c>
      <c r="AE84" s="310" t="s">
        <v>41</v>
      </c>
      <c r="AF84" s="310" t="s">
        <v>41</v>
      </c>
      <c r="AG84" s="310" t="s">
        <v>41</v>
      </c>
      <c r="AH84" s="310" t="s">
        <v>41</v>
      </c>
      <c r="AI84" s="310" t="s">
        <v>41</v>
      </c>
      <c r="AJ84" s="310" t="s">
        <v>41</v>
      </c>
      <c r="AK84" s="311" t="s">
        <v>41</v>
      </c>
      <c r="AL84" s="310">
        <v>2</v>
      </c>
      <c r="AM84" s="310">
        <v>1</v>
      </c>
      <c r="AN84" s="311">
        <v>1</v>
      </c>
      <c r="AO84" s="312" t="s">
        <v>41</v>
      </c>
      <c r="AP84" s="311">
        <v>0</v>
      </c>
      <c r="AQ84" s="313">
        <f>AVERAGE(Q84,S84,T84)+IF(OR(Q84&gt;7,AND(Q84&gt;5,T84&gt;5)),0.5,0)+IF(S84&gt;7,0.25,0)+IF(Q84&lt;6,-0.5*(6-Q84),0)</f>
        <v>0</v>
      </c>
      <c r="AR84" s="314" t="str">
        <f>IF(AQ84&gt;9,"SuperStar",IF(AQ84&gt;8,"Star",IF(AQ84&gt;6.5,"GoodReg",IF(AQ84&gt;5,"Reg",IF(AQ84&gt;4,"Bench","Minors")))))</f>
        <v>Minors</v>
      </c>
      <c r="AS84" s="313">
        <f>AVERAGE(V84,X84,Y84)+IF(OR(V84&gt;7,AND(V84&gt;5,Y84&gt;5)),0.5,0)+IF(X84&gt;7,0.25,0)+IF(V84&lt;6,-0.5*(6-V84),0)</f>
        <v>0.33333333333333348</v>
      </c>
      <c r="AT84" s="313" t="str">
        <f>IF(AS84&gt;9,"SuperStar",IF(AS84&gt;8,"Star",IF(AS84&gt;6.5,"GoodReg",IF(AS84&gt;5,"Reg",IF(AS84&gt;4,"Bench","Minors")))))</f>
        <v>Minors</v>
      </c>
      <c r="AU84" s="314">
        <f>MIN(AQ84+(MAX(0,25-J84))^1.5,AS84)</f>
        <v>0.33333333333333348</v>
      </c>
      <c r="AV84" s="314" t="str">
        <f>IF(AU84&gt;9,"SuperStar",IF(AU84&gt;8,"Star",IF(AU84&gt;6.5,"GoodReg",IF(AU84&gt;5,"Reg",IF(AU84&gt;4,"Bench","Minors")))))</f>
        <v>Minors</v>
      </c>
      <c r="AW84" s="315">
        <f>IF(AND(OR(Q84+T84&gt;12,AND(Q84&gt;6,T84&gt;6)),AL84&gt;6,OR(AM84&gt;=AL84,AM84&gt;6)),1,0)</f>
        <v>0</v>
      </c>
      <c r="AX84" s="316">
        <f>IF(OR(AND(Q84&gt;6,U84&gt;6),Q84+T84&gt;12),1,0)</f>
        <v>0</v>
      </c>
      <c r="AY84" s="316">
        <f>IF(AND(Q84&gt;6,S84&gt;6,T84&gt;6),1,0)</f>
        <v>0</v>
      </c>
      <c r="AZ84" s="316">
        <f>IF(AND(S84&gt;7,OR(Q84&gt;6,T84&gt;6)),1,0)</f>
        <v>0</v>
      </c>
      <c r="BA84" s="316">
        <f>IF(AND(S84&gt;6,OR(Q84&gt;6,T84&gt;6)),1,0)</f>
        <v>0</v>
      </c>
      <c r="BB84" s="316">
        <f>IF(AND(OR(Q84&gt;6,S84&gt;6),OR(Q84&gt;6,T84&gt;6)),1,0)</f>
        <v>0</v>
      </c>
      <c r="BC84" s="316">
        <f>IF(AND(Q84&gt;4,OR(Q84&gt;6,S84&gt;6,T84&gt;6)),1,0)</f>
        <v>0</v>
      </c>
      <c r="BD84" s="316">
        <f>IF(AND(Q84&gt;4,OR(Q84&gt;6,R84&gt;6,S84&gt;6,T84&gt;6)),1,0)</f>
        <v>0</v>
      </c>
      <c r="BE84" s="311">
        <f>IF(AND(Q84&gt;4,MAX(Q84:U84)&gt;6),1,0)</f>
        <v>0</v>
      </c>
      <c r="BF84" s="315">
        <f>IF(AND(OR(V84+Y84&gt;12,AND(V84&gt;6,Y84&gt;6)),AL84&gt;6,OR(AM84&gt;=AL84,AM84&gt;6)),1,0)</f>
        <v>0</v>
      </c>
      <c r="BG84" s="316">
        <f>IF(OR(AND(V84&gt;6,Z84&gt;6),V84+Y84&gt;12),1,0)</f>
        <v>0</v>
      </c>
      <c r="BH84" s="316">
        <f>IF(AND(V84&gt;6,X84&gt;6,Y84&gt;6),1,0)</f>
        <v>0</v>
      </c>
      <c r="BI84" s="316">
        <f>IF(AND(X84&gt;7,OR(V84&gt;6,Y84&gt;6)),1,0)</f>
        <v>0</v>
      </c>
      <c r="BJ84" s="316">
        <f>IF(AND(X84&gt;6,OR(V84&gt;6,Y84&gt;6)),1,0)</f>
        <v>0</v>
      </c>
      <c r="BK84" s="316">
        <f>IF(AND(OR(V84&gt;6,X84&gt;6),OR(V84&gt;6,Y84&gt;6)),1,0)</f>
        <v>0</v>
      </c>
      <c r="BL84" s="316">
        <f>IF(AND(V84&gt;4,OR(V84&gt;6,X84&gt;6,Y84&gt;6)),1,0)</f>
        <v>0</v>
      </c>
      <c r="BM84" s="316">
        <f>IF(AND(V84&gt;4,OR(V84&gt;6,W84&gt;6,X84&gt;6,Y84&gt;6)),1,0)</f>
        <v>0</v>
      </c>
      <c r="BN84" s="311">
        <f>IF(AND(V84&gt;4,MAX(V84:Z84)&gt;6),1,0)</f>
        <v>0</v>
      </c>
      <c r="BO84" s="311">
        <f>IF(AVERAGE(AL84:AM84)&gt;9,1,0)+IF(AVERAGE(AL84:AM84)&gt;7,1,0)+IF(AL84&gt;7,1,0)+IF(AM84&gt;7,1,0)+IF(AN84&gt;8,1,0)+IF(AN84&gt;6,1,0)</f>
        <v>0</v>
      </c>
      <c r="BP84" s="317">
        <f>IF(OR(MAX(AD84,AE84,AI84,AK84)&gt;6,MAX(AF84,AG84,AH84,AJ84)&gt;7),2,IF(MAX(AD84:AK84)&gt;4,1,0))</f>
        <v>0</v>
      </c>
      <c r="BQ84" s="310" t="str">
        <f>IF(AP84=1,"Yes","")</f>
        <v/>
      </c>
      <c r="BR84" s="309" t="str">
        <f>IF($A84="ML","There",IF(AND($V84&gt;=6,AVERAGE($X84:$Y84)&gt;=6),"Likely",IF(OR($V84&gt;6,AND($V84=6,AVERAGE($X84:$Y84)&gt;=3),AND($V84&gt;=5,AVERAGE($X84:$Y84)&gt;=5),AVERAGE($V84,$X84:$Y84)&gt;5),"Possible","Unlikely")))</f>
        <v>Unlikely</v>
      </c>
      <c r="BS84" s="310" t="str">
        <f>IF(OR(AND(Q84&gt;=6,S84+T84&gt;=12),Q84&gt;7),"Start",IF(AND(Q84&gt;=5,S84+T84&gt;=8),"Bench","aack!"))</f>
        <v>aack!</v>
      </c>
      <c r="BT84" s="310" t="str">
        <f>IF(OR(AND(V84&gt;=6,X84+Y84&gt;=12),V84&gt;7),"Start",IF(AND(V84&gt;=5,X84+Y84&gt;=8),"Bench","aack!"))</f>
        <v>aack!</v>
      </c>
      <c r="BU84" s="310" t="str">
        <f>IF(Q84&gt;5,"ML",IF(Q84=5,"AAA",IF(Q84=4,"AA",IF(Q84=3,"A","SS-A"))))</f>
        <v>SS-A</v>
      </c>
      <c r="BV84" s="310">
        <f>Q84-V84</f>
        <v>0</v>
      </c>
      <c r="BW84" s="310">
        <f>R84-W84</f>
        <v>0</v>
      </c>
      <c r="BX84" s="310">
        <f>S84-X84</f>
        <v>-1</v>
      </c>
      <c r="BY84" s="310">
        <f>T84-Y84</f>
        <v>0</v>
      </c>
      <c r="BZ84" s="310">
        <f>U84-Z84</f>
        <v>-3</v>
      </c>
      <c r="CA84" s="310">
        <f>SUM(BV84:BZ84)</f>
        <v>-4</v>
      </c>
      <c r="CB84" s="310">
        <f>V84+X84+Y84</f>
        <v>7</v>
      </c>
      <c r="CC84" s="310">
        <f>V84+X84</f>
        <v>5</v>
      </c>
      <c r="CD84" s="310">
        <f>V84+Y84</f>
        <v>4</v>
      </c>
      <c r="CE84" s="310" t="str">
        <f>IF(J84&gt;24,"Now - Age",IF(Q84&gt;6,"Now",IF(V84&lt;6,"With Dev",MIN(V84-Q84,7-Q84))))</f>
        <v>With Dev</v>
      </c>
      <c r="CF84" s="325" t="str">
        <f t="shared" si="12"/>
        <v>X</v>
      </c>
      <c r="CG84" s="325" t="str">
        <f t="shared" si="14"/>
        <v/>
      </c>
      <c r="CH84" s="325" t="str">
        <f t="shared" si="15"/>
        <v/>
      </c>
      <c r="CI84" s="325" t="str">
        <f t="shared" si="16"/>
        <v/>
      </c>
      <c r="CJ84" s="325" t="str">
        <f t="shared" si="17"/>
        <v/>
      </c>
      <c r="CK84" s="325" t="str">
        <f t="shared" si="18"/>
        <v/>
      </c>
      <c r="CL84" s="325" t="str">
        <f t="shared" si="19"/>
        <v/>
      </c>
      <c r="CM84" s="325" t="str">
        <f t="shared" si="20"/>
        <v/>
      </c>
      <c r="CN84" s="325" t="str">
        <f t="shared" si="13"/>
        <v/>
      </c>
    </row>
    <row r="85" spans="1:92">
      <c r="A85" s="308" t="s">
        <v>327</v>
      </c>
      <c r="B85" s="309" t="s">
        <v>97</v>
      </c>
      <c r="C85" s="310" t="str">
        <f>IF(BH85=1,3,IF(BI85=1,4,IF(BF85=1,1,IF(BJ85=1,5,IF(BG85=1,2,IF(BK85=1,6,IF(BL85=1,7,IF(BM85=1,8,IF(BN85=1,9,"-")))))))))</f>
        <v>-</v>
      </c>
      <c r="D85" s="310" t="str">
        <f>IF(AY85=1,3,IF(AZ85=1,4,IF(AW85=1,1,IF(BA85=1,5,IF(AX85=1,2,IF(BB85=1,6,IF(BC85=1,7,IF(BD85=1,8,IF(BE85=1,9,"-")))))))))</f>
        <v>-</v>
      </c>
      <c r="E85" s="310" t="str">
        <f>IF(OR(OR(O85="Very High",O85="High"),AND(OR(O85="Very High",O85="High",O85="Normal"),OR(P85="Very High",P85="High"))),"K","T")</f>
        <v>T</v>
      </c>
      <c r="F85" s="310" t="s">
        <v>97</v>
      </c>
      <c r="G85" s="310" t="s">
        <v>634</v>
      </c>
      <c r="H85" s="310" t="s">
        <v>383</v>
      </c>
      <c r="I85" s="310" t="s">
        <v>327</v>
      </c>
      <c r="J85" s="310">
        <v>20</v>
      </c>
      <c r="K85" s="310" t="s">
        <v>107</v>
      </c>
      <c r="L85" s="310" t="s">
        <v>107</v>
      </c>
      <c r="M85" s="310" t="s">
        <v>47</v>
      </c>
      <c r="N85" s="311" t="s">
        <v>47</v>
      </c>
      <c r="O85" s="310" t="s">
        <v>231</v>
      </c>
      <c r="P85" s="311" t="s">
        <v>229</v>
      </c>
      <c r="Q85" s="310">
        <v>2</v>
      </c>
      <c r="R85" s="310">
        <v>3</v>
      </c>
      <c r="S85" s="310">
        <v>1</v>
      </c>
      <c r="T85" s="310">
        <v>2</v>
      </c>
      <c r="U85" s="311">
        <v>1</v>
      </c>
      <c r="V85" s="310">
        <v>5</v>
      </c>
      <c r="W85" s="310">
        <v>5</v>
      </c>
      <c r="X85" s="310">
        <v>6</v>
      </c>
      <c r="Y85" s="310">
        <v>6</v>
      </c>
      <c r="Z85" s="311">
        <v>5</v>
      </c>
      <c r="AA85" s="310">
        <v>2</v>
      </c>
      <c r="AB85" s="310">
        <v>1</v>
      </c>
      <c r="AC85" s="310">
        <v>1</v>
      </c>
      <c r="AD85" s="310" t="s">
        <v>41</v>
      </c>
      <c r="AE85" s="310">
        <v>2</v>
      </c>
      <c r="AF85" s="310" t="s">
        <v>41</v>
      </c>
      <c r="AG85" s="310" t="s">
        <v>41</v>
      </c>
      <c r="AH85" s="310" t="s">
        <v>41</v>
      </c>
      <c r="AI85" s="310" t="s">
        <v>41</v>
      </c>
      <c r="AJ85" s="310" t="s">
        <v>41</v>
      </c>
      <c r="AK85" s="311" t="s">
        <v>41</v>
      </c>
      <c r="AL85" s="310">
        <v>6</v>
      </c>
      <c r="AM85" s="310">
        <v>9</v>
      </c>
      <c r="AN85" s="311">
        <v>8</v>
      </c>
      <c r="AO85" s="312" t="s">
        <v>41</v>
      </c>
      <c r="AP85" s="311">
        <v>0</v>
      </c>
      <c r="AQ85" s="313">
        <f>AVERAGE(Q85,S85,T85)+IF(OR(Q85&gt;7,AND(Q85&gt;5,T85&gt;5)),0.5,0)+IF(S85&gt;7,0.25,0)+IF(Q85&lt;6,-0.5*(6-Q85),0)</f>
        <v>-0.33333333333333326</v>
      </c>
      <c r="AR85" s="314" t="str">
        <f>IF(AQ85&gt;9,"SuperStar",IF(AQ85&gt;8,"Star",IF(AQ85&gt;6.5,"GoodReg",IF(AQ85&gt;5,"Reg",IF(AQ85&gt;4,"Bench","Minors")))))</f>
        <v>Minors</v>
      </c>
      <c r="AS85" s="313">
        <f>AVERAGE(V85,X85,Y85)+IF(OR(V85&gt;7,AND(V85&gt;5,Y85&gt;5)),0.5,0)+IF(X85&gt;7,0.25,0)+IF(V85&lt;6,-0.5*(6-V85),0)</f>
        <v>5.166666666666667</v>
      </c>
      <c r="AT85" s="313" t="str">
        <f>IF(AS85&gt;9,"SuperStar",IF(AS85&gt;8,"Star",IF(AS85&gt;6.5,"GoodReg",IF(AS85&gt;5,"Reg",IF(AS85&gt;4,"Bench","Minors")))))</f>
        <v>Reg</v>
      </c>
      <c r="AU85" s="314">
        <f>MIN(AQ85+(MAX(0,25-J85))^1.5,AS85)</f>
        <v>5.166666666666667</v>
      </c>
      <c r="AV85" s="314" t="str">
        <f>IF(AU85&gt;9,"SuperStar",IF(AU85&gt;8,"Star",IF(AU85&gt;6.5,"GoodReg",IF(AU85&gt;5,"Reg",IF(AU85&gt;4,"Bench","Minors")))))</f>
        <v>Reg</v>
      </c>
      <c r="AW85" s="315">
        <f>IF(AND(OR(Q85+T85&gt;12,AND(Q85&gt;6,T85&gt;6)),AL85&gt;6,OR(AM85&gt;=AL85,AM85&gt;6)),1,0)</f>
        <v>0</v>
      </c>
      <c r="AX85" s="316">
        <f>IF(OR(AND(Q85&gt;6,U85&gt;6),Q85+T85&gt;12),1,0)</f>
        <v>0</v>
      </c>
      <c r="AY85" s="316">
        <f>IF(AND(Q85&gt;6,S85&gt;6,T85&gt;6),1,0)</f>
        <v>0</v>
      </c>
      <c r="AZ85" s="316">
        <f>IF(AND(S85&gt;7,OR(Q85&gt;6,T85&gt;6)),1,0)</f>
        <v>0</v>
      </c>
      <c r="BA85" s="316">
        <f>IF(AND(S85&gt;6,OR(Q85&gt;6,T85&gt;6)),1,0)</f>
        <v>0</v>
      </c>
      <c r="BB85" s="316">
        <f>IF(AND(OR(Q85&gt;6,S85&gt;6),OR(Q85&gt;6,T85&gt;6)),1,0)</f>
        <v>0</v>
      </c>
      <c r="BC85" s="316">
        <f>IF(AND(Q85&gt;4,OR(Q85&gt;6,S85&gt;6,T85&gt;6)),1,0)</f>
        <v>0</v>
      </c>
      <c r="BD85" s="316">
        <f>IF(AND(Q85&gt;4,OR(Q85&gt;6,R85&gt;6,S85&gt;6,T85&gt;6)),1,0)</f>
        <v>0</v>
      </c>
      <c r="BE85" s="311">
        <f>IF(AND(Q85&gt;4,MAX(Q85:U85)&gt;6),1,0)</f>
        <v>0</v>
      </c>
      <c r="BF85" s="315">
        <f>IF(AND(OR(V85+Y85&gt;12,AND(V85&gt;6,Y85&gt;6)),AL85&gt;6,OR(AM85&gt;=AL85,AM85&gt;6)),1,0)</f>
        <v>0</v>
      </c>
      <c r="BG85" s="316">
        <f>IF(OR(AND(V85&gt;6,Z85&gt;6),V85+Y85&gt;12),1,0)</f>
        <v>0</v>
      </c>
      <c r="BH85" s="316">
        <f>IF(AND(V85&gt;6,X85&gt;6,Y85&gt;6),1,0)</f>
        <v>0</v>
      </c>
      <c r="BI85" s="316">
        <f>IF(AND(X85&gt;7,OR(V85&gt;6,Y85&gt;6)),1,0)</f>
        <v>0</v>
      </c>
      <c r="BJ85" s="316">
        <f>IF(AND(X85&gt;6,OR(V85&gt;6,Y85&gt;6)),1,0)</f>
        <v>0</v>
      </c>
      <c r="BK85" s="316">
        <f>IF(AND(OR(V85&gt;6,X85&gt;6),OR(V85&gt;6,Y85&gt;6)),1,0)</f>
        <v>0</v>
      </c>
      <c r="BL85" s="316">
        <f>IF(AND(V85&gt;4,OR(V85&gt;6,X85&gt;6,Y85&gt;6)),1,0)</f>
        <v>0</v>
      </c>
      <c r="BM85" s="316">
        <f>IF(AND(V85&gt;4,OR(V85&gt;6,W85&gt;6,X85&gt;6,Y85&gt;6)),1,0)</f>
        <v>0</v>
      </c>
      <c r="BN85" s="311">
        <f>IF(AND(V85&gt;4,MAX(V85:Z85)&gt;6),1,0)</f>
        <v>0</v>
      </c>
      <c r="BO85" s="311">
        <f>IF(AVERAGE(AL85:AM85)&gt;9,1,0)+IF(AVERAGE(AL85:AM85)&gt;7,1,0)+IF(AL85&gt;7,1,0)+IF(AM85&gt;7,1,0)+IF(AN85&gt;8,1,0)+IF(AN85&gt;6,1,0)</f>
        <v>3</v>
      </c>
      <c r="BP85" s="317">
        <f>IF(OR(MAX(AD85,AE85,AI85,AK85)&gt;6,MAX(AF85,AG85,AH85,AJ85)&gt;7),2,IF(MAX(AD85:AK85)&gt;4,1,0))</f>
        <v>0</v>
      </c>
      <c r="BQ85" s="310" t="str">
        <f>IF(AP85=1,"Yes","")</f>
        <v/>
      </c>
      <c r="BR85" s="309" t="str">
        <f>IF($A85="ML","There",IF(AND($V85&gt;=6,AVERAGE($X85:$Y85)&gt;=6),"Likely",IF(OR($V85&gt;6,AND($V85=6,AVERAGE($X85:$Y85)&gt;=3),AND($V85&gt;=5,AVERAGE($X85:$Y85)&gt;=5),AVERAGE($V85,$X85:$Y85)&gt;5),"Possible","Unlikely")))</f>
        <v>Possible</v>
      </c>
      <c r="BS85" s="310" t="str">
        <f>IF(OR(AND(Q85&gt;=6,S85+T85&gt;=12),Q85&gt;7),"Start",IF(AND(Q85&gt;=5,S85+T85&gt;=8),"Bench","aack!"))</f>
        <v>aack!</v>
      </c>
      <c r="BT85" s="310" t="str">
        <f>IF(OR(AND(V85&gt;=6,X85+Y85&gt;=12),V85&gt;7),"Start",IF(AND(V85&gt;=5,X85+Y85&gt;=8),"Bench","aack!"))</f>
        <v>Bench</v>
      </c>
      <c r="BU85" s="310" t="str">
        <f>IF(Q85&gt;5,"ML",IF(Q85=5,"AAA",IF(Q85=4,"AA",IF(Q85=3,"A","SS-A"))))</f>
        <v>SS-A</v>
      </c>
      <c r="BV85" s="310">
        <f>Q85-V85</f>
        <v>-3</v>
      </c>
      <c r="BW85" s="310">
        <f>R85-W85</f>
        <v>-2</v>
      </c>
      <c r="BX85" s="310">
        <f>S85-X85</f>
        <v>-5</v>
      </c>
      <c r="BY85" s="310">
        <f>T85-Y85</f>
        <v>-4</v>
      </c>
      <c r="BZ85" s="310">
        <f>U85-Z85</f>
        <v>-4</v>
      </c>
      <c r="CA85" s="310">
        <f>SUM(BV85:BZ85)</f>
        <v>-18</v>
      </c>
      <c r="CB85" s="310">
        <f>V85+X85+Y85</f>
        <v>17</v>
      </c>
      <c r="CC85" s="310">
        <f>V85+X85</f>
        <v>11</v>
      </c>
      <c r="CD85" s="310">
        <f>V85+Y85</f>
        <v>11</v>
      </c>
      <c r="CE85" s="310" t="str">
        <f>IF(J85&gt;24,"Now - Age",IF(Q85&gt;6,"Now",IF(V85&lt;6,"With Dev",MIN(V85-Q85,7-Q85))))</f>
        <v>With Dev</v>
      </c>
      <c r="CF85" s="325" t="str">
        <f t="shared" si="12"/>
        <v/>
      </c>
      <c r="CG85" s="325" t="str">
        <f t="shared" si="14"/>
        <v/>
      </c>
      <c r="CH85" s="325" t="str">
        <f t="shared" si="15"/>
        <v/>
      </c>
      <c r="CI85" s="325" t="str">
        <f t="shared" si="16"/>
        <v/>
      </c>
      <c r="CJ85" s="325" t="str">
        <f t="shared" si="17"/>
        <v/>
      </c>
      <c r="CK85" s="325" t="str">
        <f t="shared" si="18"/>
        <v/>
      </c>
      <c r="CL85" s="325" t="str">
        <f t="shared" si="19"/>
        <v/>
      </c>
      <c r="CM85" s="325" t="str">
        <f t="shared" si="20"/>
        <v/>
      </c>
      <c r="CN85" s="325" t="str">
        <f t="shared" si="13"/>
        <v>X</v>
      </c>
    </row>
    <row r="86" spans="1:92">
      <c r="A86" s="308" t="s">
        <v>327</v>
      </c>
      <c r="B86" s="309" t="s">
        <v>552</v>
      </c>
      <c r="C86" s="310">
        <f>IF(BH86=1,3,IF(BI86=1,4,IF(BF86=1,1,IF(BJ86=1,5,IF(BG86=1,2,IF(BK86=1,6,IF(BL86=1,7,IF(BM86=1,8,IF(BN86=1,9,"-")))))))))</f>
        <v>8</v>
      </c>
      <c r="D86" s="310" t="str">
        <f>IF(AY86=1,3,IF(AZ86=1,4,IF(AW86=1,1,IF(BA86=1,5,IF(AX86=1,2,IF(BB86=1,6,IF(BC86=1,7,IF(BD86=1,8,IF(BE86=1,9,"-")))))))))</f>
        <v>-</v>
      </c>
      <c r="E86" s="310" t="str">
        <f>IF(OR(OR(O86="Very High",O86="High"),AND(OR(O86="Very High",O86="High",O86="Normal"),OR(P86="Very High",P86="High"))),"K","T")</f>
        <v>T</v>
      </c>
      <c r="F86" s="310" t="s">
        <v>103</v>
      </c>
      <c r="G86" s="310" t="s">
        <v>503</v>
      </c>
      <c r="H86" s="310" t="s">
        <v>383</v>
      </c>
      <c r="I86" s="310" t="s">
        <v>327</v>
      </c>
      <c r="J86" s="310">
        <v>19</v>
      </c>
      <c r="K86" s="310" t="s">
        <v>106</v>
      </c>
      <c r="L86" s="310" t="s">
        <v>106</v>
      </c>
      <c r="M86" s="310" t="s">
        <v>47</v>
      </c>
      <c r="N86" s="311" t="s">
        <v>47</v>
      </c>
      <c r="O86" s="310" t="s">
        <v>231</v>
      </c>
      <c r="P86" s="311" t="s">
        <v>230</v>
      </c>
      <c r="Q86" s="310">
        <v>2</v>
      </c>
      <c r="R86" s="310">
        <v>3</v>
      </c>
      <c r="S86" s="310">
        <v>1</v>
      </c>
      <c r="T86" s="310">
        <v>1</v>
      </c>
      <c r="U86" s="311">
        <v>2</v>
      </c>
      <c r="V86" s="310">
        <v>5</v>
      </c>
      <c r="W86" s="310">
        <v>7</v>
      </c>
      <c r="X86" s="310">
        <v>4</v>
      </c>
      <c r="Y86" s="310">
        <v>5</v>
      </c>
      <c r="Z86" s="311">
        <v>4</v>
      </c>
      <c r="AA86" s="310">
        <v>1</v>
      </c>
      <c r="AB86" s="310">
        <v>7</v>
      </c>
      <c r="AC86" s="310">
        <v>1</v>
      </c>
      <c r="AD86" s="310" t="s">
        <v>41</v>
      </c>
      <c r="AE86" s="310" t="s">
        <v>41</v>
      </c>
      <c r="AF86" s="310" t="s">
        <v>41</v>
      </c>
      <c r="AG86" s="310" t="s">
        <v>41</v>
      </c>
      <c r="AH86" s="310" t="s">
        <v>41</v>
      </c>
      <c r="AI86" s="310">
        <v>1</v>
      </c>
      <c r="AJ86" s="310" t="s">
        <v>41</v>
      </c>
      <c r="AK86" s="311">
        <v>2</v>
      </c>
      <c r="AL86" s="310">
        <v>10</v>
      </c>
      <c r="AM86" s="310">
        <v>10</v>
      </c>
      <c r="AN86" s="311">
        <v>10</v>
      </c>
      <c r="AO86" s="312" t="s">
        <v>41</v>
      </c>
      <c r="AP86" s="311">
        <v>0</v>
      </c>
      <c r="AQ86" s="313">
        <f>AVERAGE(Q86,S86,T86)+IF(OR(Q86&gt;7,AND(Q86&gt;5,T86&gt;5)),0.5,0)+IF(S86&gt;7,0.25,0)+IF(Q86&lt;6,-0.5*(6-Q86),0)</f>
        <v>-0.66666666666666674</v>
      </c>
      <c r="AR86" s="314" t="str">
        <f>IF(AQ86&gt;9,"SuperStar",IF(AQ86&gt;8,"Star",IF(AQ86&gt;6.5,"GoodReg",IF(AQ86&gt;5,"Reg",IF(AQ86&gt;4,"Bench","Minors")))))</f>
        <v>Minors</v>
      </c>
      <c r="AS86" s="313">
        <f>AVERAGE(V86,X86,Y86)+IF(OR(V86&gt;7,AND(V86&gt;5,Y86&gt;5)),0.5,0)+IF(X86&gt;7,0.25,0)+IF(V86&lt;6,-0.5*(6-V86),0)</f>
        <v>4.166666666666667</v>
      </c>
      <c r="AT86" s="313" t="str">
        <f>IF(AS86&gt;9,"SuperStar",IF(AS86&gt;8,"Star",IF(AS86&gt;6.5,"GoodReg",IF(AS86&gt;5,"Reg",IF(AS86&gt;4,"Bench","Minors")))))</f>
        <v>Bench</v>
      </c>
      <c r="AU86" s="314">
        <f>MIN(AQ86+(MAX(0,25-J86))^1.5,AS86)</f>
        <v>4.166666666666667</v>
      </c>
      <c r="AV86" s="314" t="str">
        <f>IF(AU86&gt;9,"SuperStar",IF(AU86&gt;8,"Star",IF(AU86&gt;6.5,"GoodReg",IF(AU86&gt;5,"Reg",IF(AU86&gt;4,"Bench","Minors")))))</f>
        <v>Bench</v>
      </c>
      <c r="AW86" s="315">
        <f>IF(AND(OR(Q86+T86&gt;12,AND(Q86&gt;6,T86&gt;6)),AL86&gt;6,OR(AM86&gt;=AL86,AM86&gt;6)),1,0)</f>
        <v>0</v>
      </c>
      <c r="AX86" s="316">
        <f>IF(OR(AND(Q86&gt;6,U86&gt;6),Q86+T86&gt;12),1,0)</f>
        <v>0</v>
      </c>
      <c r="AY86" s="316">
        <f>IF(AND(Q86&gt;6,S86&gt;6,T86&gt;6),1,0)</f>
        <v>0</v>
      </c>
      <c r="AZ86" s="316">
        <f>IF(AND(S86&gt;7,OR(Q86&gt;6,T86&gt;6)),1,0)</f>
        <v>0</v>
      </c>
      <c r="BA86" s="316">
        <f>IF(AND(S86&gt;6,OR(Q86&gt;6,T86&gt;6)),1,0)</f>
        <v>0</v>
      </c>
      <c r="BB86" s="316">
        <f>IF(AND(OR(Q86&gt;6,S86&gt;6),OR(Q86&gt;6,T86&gt;6)),1,0)</f>
        <v>0</v>
      </c>
      <c r="BC86" s="316">
        <f>IF(AND(Q86&gt;4,OR(Q86&gt;6,S86&gt;6,T86&gt;6)),1,0)</f>
        <v>0</v>
      </c>
      <c r="BD86" s="316">
        <f>IF(AND(Q86&gt;4,OR(Q86&gt;6,R86&gt;6,S86&gt;6,T86&gt;6)),1,0)</f>
        <v>0</v>
      </c>
      <c r="BE86" s="311">
        <f>IF(AND(Q86&gt;4,MAX(Q86:U86)&gt;6),1,0)</f>
        <v>0</v>
      </c>
      <c r="BF86" s="315">
        <f>IF(AND(OR(V86+Y86&gt;12,AND(V86&gt;6,Y86&gt;6)),AL86&gt;6,OR(AM86&gt;=AL86,AM86&gt;6)),1,0)</f>
        <v>0</v>
      </c>
      <c r="BG86" s="316">
        <f>IF(OR(AND(V86&gt;6,Z86&gt;6),V86+Y86&gt;12),1,0)</f>
        <v>0</v>
      </c>
      <c r="BH86" s="316">
        <f>IF(AND(V86&gt;6,X86&gt;6,Y86&gt;6),1,0)</f>
        <v>0</v>
      </c>
      <c r="BI86" s="316">
        <f>IF(AND(X86&gt;7,OR(V86&gt;6,Y86&gt;6)),1,0)</f>
        <v>0</v>
      </c>
      <c r="BJ86" s="316">
        <f>IF(AND(X86&gt;6,OR(V86&gt;6,Y86&gt;6)),1,0)</f>
        <v>0</v>
      </c>
      <c r="BK86" s="316">
        <f>IF(AND(OR(V86&gt;6,X86&gt;6),OR(V86&gt;6,Y86&gt;6)),1,0)</f>
        <v>0</v>
      </c>
      <c r="BL86" s="316">
        <f>IF(AND(V86&gt;4,OR(V86&gt;6,X86&gt;6,Y86&gt;6)),1,0)</f>
        <v>0</v>
      </c>
      <c r="BM86" s="316">
        <f>IF(AND(V86&gt;4,OR(V86&gt;6,W86&gt;6,X86&gt;6,Y86&gt;6)),1,0)</f>
        <v>1</v>
      </c>
      <c r="BN86" s="311">
        <f>IF(AND(V86&gt;4,MAX(V86:Z86)&gt;6),1,0)</f>
        <v>1</v>
      </c>
      <c r="BO86" s="311">
        <f>IF(AVERAGE(AL86:AM86)&gt;9,1,0)+IF(AVERAGE(AL86:AM86)&gt;7,1,0)+IF(AL86&gt;7,1,0)+IF(AM86&gt;7,1,0)+IF(AN86&gt;8,1,0)+IF(AN86&gt;6,1,0)</f>
        <v>6</v>
      </c>
      <c r="BP86" s="317">
        <f>IF(OR(MAX(AD86,AE86,AI86,AK86)&gt;6,MAX(AF86,AG86,AH86,AJ86)&gt;7),2,IF(MAX(AD86:AK86)&gt;4,1,0))</f>
        <v>0</v>
      </c>
      <c r="BQ86" s="310" t="str">
        <f>IF(AP86=1,"Yes","")</f>
        <v/>
      </c>
      <c r="BR86" s="309" t="str">
        <f>IF($A86="ML","There",IF(AND($V86&gt;=6,AVERAGE($X86:$Y86)&gt;=6),"Likely",IF(OR($V86&gt;6,AND($V86=6,AVERAGE($X86:$Y86)&gt;=3),AND($V86&gt;=5,AVERAGE($X86:$Y86)&gt;=5),AVERAGE($V86,$X86:$Y86)&gt;5),"Possible","Unlikely")))</f>
        <v>Unlikely</v>
      </c>
      <c r="BS86" s="310" t="str">
        <f>IF(OR(AND(Q86&gt;=6,S86+T86&gt;=12),Q86&gt;7),"Start",IF(AND(Q86&gt;=5,S86+T86&gt;=8),"Bench","aack!"))</f>
        <v>aack!</v>
      </c>
      <c r="BT86" s="310" t="str">
        <f>IF(OR(AND(V86&gt;=6,X86+Y86&gt;=12),V86&gt;7),"Start",IF(AND(V86&gt;=5,X86+Y86&gt;=8),"Bench","aack!"))</f>
        <v>Bench</v>
      </c>
      <c r="BU86" s="310" t="str">
        <f>IF(Q86&gt;5,"ML",IF(Q86=5,"AAA",IF(Q86=4,"AA",IF(Q86=3,"A","SS-A"))))</f>
        <v>SS-A</v>
      </c>
      <c r="BV86" s="310">
        <f>Q86-V86</f>
        <v>-3</v>
      </c>
      <c r="BW86" s="310">
        <f>R86-W86</f>
        <v>-4</v>
      </c>
      <c r="BX86" s="310">
        <f>S86-X86</f>
        <v>-3</v>
      </c>
      <c r="BY86" s="310">
        <f>T86-Y86</f>
        <v>-4</v>
      </c>
      <c r="BZ86" s="310">
        <f>U86-Z86</f>
        <v>-2</v>
      </c>
      <c r="CA86" s="310">
        <f>SUM(BV86:BZ86)</f>
        <v>-16</v>
      </c>
      <c r="CB86" s="310">
        <f>V86+X86+Y86</f>
        <v>14</v>
      </c>
      <c r="CC86" s="310">
        <f>V86+X86</f>
        <v>9</v>
      </c>
      <c r="CD86" s="310">
        <f>V86+Y86</f>
        <v>10</v>
      </c>
      <c r="CE86" s="310" t="str">
        <f>IF(J86&gt;24,"Now - Age",IF(Q86&gt;6,"Now",IF(V86&lt;6,"With Dev",MIN(V86-Q86,7-Q86))))</f>
        <v>With Dev</v>
      </c>
      <c r="CF86" s="325" t="str">
        <f t="shared" si="12"/>
        <v/>
      </c>
      <c r="CG86" s="325" t="str">
        <f t="shared" si="14"/>
        <v/>
      </c>
      <c r="CH86" s="325" t="str">
        <f t="shared" si="15"/>
        <v/>
      </c>
      <c r="CI86" s="325" t="str">
        <f t="shared" si="16"/>
        <v/>
      </c>
      <c r="CJ86" s="325" t="str">
        <f t="shared" si="17"/>
        <v/>
      </c>
      <c r="CK86" s="325" t="str">
        <f t="shared" si="18"/>
        <v/>
      </c>
      <c r="CL86" s="325" t="str">
        <f t="shared" si="19"/>
        <v/>
      </c>
      <c r="CM86" s="325" t="str">
        <f t="shared" si="20"/>
        <v/>
      </c>
      <c r="CN86" s="325" t="str">
        <f t="shared" si="13"/>
        <v>X</v>
      </c>
    </row>
    <row r="87" spans="1:92">
      <c r="A87" s="308" t="s">
        <v>327</v>
      </c>
      <c r="B87" s="309" t="s">
        <v>552</v>
      </c>
      <c r="C87" s="310">
        <f>IF(BH87=1,3,IF(BI87=1,4,IF(BF87=1,1,IF(BJ87=1,5,IF(BG87=1,2,IF(BK87=1,6,IF(BL87=1,7,IF(BM87=1,8,IF(BN87=1,9,"-")))))))))</f>
        <v>8</v>
      </c>
      <c r="D87" s="310" t="str">
        <f>IF(AY87=1,3,IF(AZ87=1,4,IF(AW87=1,1,IF(BA87=1,5,IF(AX87=1,2,IF(BB87=1,6,IF(BC87=1,7,IF(BD87=1,8,IF(BE87=1,9,"-")))))))))</f>
        <v>-</v>
      </c>
      <c r="E87" s="310" t="str">
        <f>IF(OR(OR(O87="Very High",O87="High"),AND(OR(O87="Very High",O87="High",O87="Normal"),OR(P87="Very High",P87="High"))),"K","T")</f>
        <v>T</v>
      </c>
      <c r="F87" s="310" t="s">
        <v>102</v>
      </c>
      <c r="G87" s="310" t="s">
        <v>549</v>
      </c>
      <c r="H87" s="310" t="s">
        <v>383</v>
      </c>
      <c r="I87" s="310" t="s">
        <v>327</v>
      </c>
      <c r="J87" s="310">
        <v>19</v>
      </c>
      <c r="K87" s="310" t="s">
        <v>107</v>
      </c>
      <c r="L87" s="310" t="s">
        <v>107</v>
      </c>
      <c r="M87" s="310" t="s">
        <v>47</v>
      </c>
      <c r="N87" s="311" t="s">
        <v>47</v>
      </c>
      <c r="O87" s="310" t="s">
        <v>230</v>
      </c>
      <c r="P87" s="311" t="s">
        <v>230</v>
      </c>
      <c r="Q87" s="310">
        <v>1</v>
      </c>
      <c r="R87" s="310">
        <v>3</v>
      </c>
      <c r="S87" s="310">
        <v>1</v>
      </c>
      <c r="T87" s="310">
        <v>2</v>
      </c>
      <c r="U87" s="311">
        <v>1</v>
      </c>
      <c r="V87" s="310">
        <v>5</v>
      </c>
      <c r="W87" s="310">
        <v>9</v>
      </c>
      <c r="X87" s="310">
        <v>2</v>
      </c>
      <c r="Y87" s="310">
        <v>4</v>
      </c>
      <c r="Z87" s="311">
        <v>4</v>
      </c>
      <c r="AA87" s="310">
        <v>1</v>
      </c>
      <c r="AB87" s="310">
        <v>7</v>
      </c>
      <c r="AC87" s="310">
        <v>1</v>
      </c>
      <c r="AD87" s="310" t="s">
        <v>41</v>
      </c>
      <c r="AE87" s="310" t="s">
        <v>41</v>
      </c>
      <c r="AF87" s="310" t="s">
        <v>41</v>
      </c>
      <c r="AG87" s="310" t="s">
        <v>41</v>
      </c>
      <c r="AH87" s="310" t="s">
        <v>41</v>
      </c>
      <c r="AI87" s="310">
        <v>1</v>
      </c>
      <c r="AJ87" s="310">
        <v>2</v>
      </c>
      <c r="AK87" s="311">
        <v>1</v>
      </c>
      <c r="AL87" s="310">
        <v>8</v>
      </c>
      <c r="AM87" s="310">
        <v>9</v>
      </c>
      <c r="AN87" s="311">
        <v>10</v>
      </c>
      <c r="AO87" s="312" t="s">
        <v>41</v>
      </c>
      <c r="AP87" s="311" t="s">
        <v>45</v>
      </c>
      <c r="AQ87" s="313">
        <f>AVERAGE(Q87,S87,T87)+IF(OR(Q87&gt;7,AND(Q87&gt;5,T87&gt;5)),0.5,0)+IF(S87&gt;7,0.25,0)+IF(Q87&lt;6,-0.5*(6-Q87),0)</f>
        <v>-1.1666666666666667</v>
      </c>
      <c r="AR87" s="314" t="str">
        <f>IF(AQ87&gt;9,"SuperStar",IF(AQ87&gt;8,"Star",IF(AQ87&gt;6.5,"GoodReg",IF(AQ87&gt;5,"Reg",IF(AQ87&gt;4,"Bench","Minors")))))</f>
        <v>Minors</v>
      </c>
      <c r="AS87" s="313">
        <f>AVERAGE(V87,X87,Y87)+IF(OR(V87&gt;7,AND(V87&gt;5,Y87&gt;5)),0.5,0)+IF(X87&gt;7,0.25,0)+IF(V87&lt;6,-0.5*(6-V87),0)</f>
        <v>3.1666666666666665</v>
      </c>
      <c r="AT87" s="313" t="str">
        <f>IF(AS87&gt;9,"SuperStar",IF(AS87&gt;8,"Star",IF(AS87&gt;6.5,"GoodReg",IF(AS87&gt;5,"Reg",IF(AS87&gt;4,"Bench","Minors")))))</f>
        <v>Minors</v>
      </c>
      <c r="AU87" s="314">
        <f>MIN(AQ87+(MAX(0,25-J87))^1.5,AS87)</f>
        <v>3.1666666666666665</v>
      </c>
      <c r="AV87" s="314" t="str">
        <f>IF(AU87&gt;9,"SuperStar",IF(AU87&gt;8,"Star",IF(AU87&gt;6.5,"GoodReg",IF(AU87&gt;5,"Reg",IF(AU87&gt;4,"Bench","Minors")))))</f>
        <v>Minors</v>
      </c>
      <c r="AW87" s="315">
        <f>IF(AND(OR(Q87+T87&gt;12,AND(Q87&gt;6,T87&gt;6)),AL87&gt;6,OR(AM87&gt;=AL87,AM87&gt;6)),1,0)</f>
        <v>0</v>
      </c>
      <c r="AX87" s="316">
        <f>IF(OR(AND(Q87&gt;6,U87&gt;6),Q87+T87&gt;12),1,0)</f>
        <v>0</v>
      </c>
      <c r="AY87" s="316">
        <f>IF(AND(Q87&gt;6,S87&gt;6,T87&gt;6),1,0)</f>
        <v>0</v>
      </c>
      <c r="AZ87" s="316">
        <f>IF(AND(S87&gt;7,OR(Q87&gt;6,T87&gt;6)),1,0)</f>
        <v>0</v>
      </c>
      <c r="BA87" s="316">
        <f>IF(AND(S87&gt;6,OR(Q87&gt;6,T87&gt;6)),1,0)</f>
        <v>0</v>
      </c>
      <c r="BB87" s="316">
        <f>IF(AND(OR(Q87&gt;6,S87&gt;6),OR(Q87&gt;6,T87&gt;6)),1,0)</f>
        <v>0</v>
      </c>
      <c r="BC87" s="316">
        <f>IF(AND(Q87&gt;4,OR(Q87&gt;6,S87&gt;6,T87&gt;6)),1,0)</f>
        <v>0</v>
      </c>
      <c r="BD87" s="316">
        <f>IF(AND(Q87&gt;4,OR(Q87&gt;6,R87&gt;6,S87&gt;6,T87&gt;6)),1,0)</f>
        <v>0</v>
      </c>
      <c r="BE87" s="311">
        <f>IF(AND(Q87&gt;4,MAX(Q87:U87)&gt;6),1,0)</f>
        <v>0</v>
      </c>
      <c r="BF87" s="315">
        <f>IF(AND(OR(V87+Y87&gt;12,AND(V87&gt;6,Y87&gt;6)),AL87&gt;6,OR(AM87&gt;=AL87,AM87&gt;6)),1,0)</f>
        <v>0</v>
      </c>
      <c r="BG87" s="316">
        <f>IF(OR(AND(V87&gt;6,Z87&gt;6),V87+Y87&gt;12),1,0)</f>
        <v>0</v>
      </c>
      <c r="BH87" s="316">
        <f>IF(AND(V87&gt;6,X87&gt;6,Y87&gt;6),1,0)</f>
        <v>0</v>
      </c>
      <c r="BI87" s="316">
        <f>IF(AND(X87&gt;7,OR(V87&gt;6,Y87&gt;6)),1,0)</f>
        <v>0</v>
      </c>
      <c r="BJ87" s="316">
        <f>IF(AND(X87&gt;6,OR(V87&gt;6,Y87&gt;6)),1,0)</f>
        <v>0</v>
      </c>
      <c r="BK87" s="316">
        <f>IF(AND(OR(V87&gt;6,X87&gt;6),OR(V87&gt;6,Y87&gt;6)),1,0)</f>
        <v>0</v>
      </c>
      <c r="BL87" s="316">
        <f>IF(AND(V87&gt;4,OR(V87&gt;6,X87&gt;6,Y87&gt;6)),1,0)</f>
        <v>0</v>
      </c>
      <c r="BM87" s="316">
        <f>IF(AND(V87&gt;4,OR(V87&gt;6,W87&gt;6,X87&gt;6,Y87&gt;6)),1,0)</f>
        <v>1</v>
      </c>
      <c r="BN87" s="311">
        <f>IF(AND(V87&gt;4,MAX(V87:Z87)&gt;6),1,0)</f>
        <v>1</v>
      </c>
      <c r="BO87" s="311">
        <f>IF(AVERAGE(AL87:AM87)&gt;9,1,0)+IF(AVERAGE(AL87:AM87)&gt;7,1,0)+IF(AL87&gt;7,1,0)+IF(AM87&gt;7,1,0)+IF(AN87&gt;8,1,0)+IF(AN87&gt;6,1,0)</f>
        <v>5</v>
      </c>
      <c r="BP87" s="317">
        <f>IF(OR(MAX(AD87,AE87,AI87,AK87)&gt;6,MAX(AF87,AG87,AH87,AJ87)&gt;7),2,IF(MAX(AD87:AK87)&gt;4,1,0))</f>
        <v>0</v>
      </c>
      <c r="BQ87" s="310" t="str">
        <f>IF(AP87=1,"Yes","")</f>
        <v/>
      </c>
      <c r="BR87" s="309" t="str">
        <f>IF($A87="ML","There",IF(AND($V87&gt;=6,AVERAGE($X87:$Y87)&gt;=6),"Likely",IF(OR($V87&gt;6,AND($V87=6,AVERAGE($X87:$Y87)&gt;=3),AND($V87&gt;=5,AVERAGE($X87:$Y87)&gt;=5),AVERAGE($V87,$X87:$Y87)&gt;5),"Possible","Unlikely")))</f>
        <v>Unlikely</v>
      </c>
      <c r="BS87" s="310" t="str">
        <f>IF(OR(AND(Q87&gt;=6,S87+T87&gt;=12),Q87&gt;7),"Start",IF(AND(Q87&gt;=5,S87+T87&gt;=8),"Bench","aack!"))</f>
        <v>aack!</v>
      </c>
      <c r="BT87" s="310" t="str">
        <f>IF(OR(AND(V87&gt;=6,X87+Y87&gt;=12),V87&gt;7),"Start",IF(AND(V87&gt;=5,X87+Y87&gt;=8),"Bench","aack!"))</f>
        <v>aack!</v>
      </c>
      <c r="BU87" s="310" t="str">
        <f>IF(Q87&gt;5,"ML",IF(Q87=5,"AAA",IF(Q87=4,"AA",IF(Q87=3,"A","SS-A"))))</f>
        <v>SS-A</v>
      </c>
      <c r="BV87" s="310">
        <f>Q87-V87</f>
        <v>-4</v>
      </c>
      <c r="BW87" s="310">
        <f>R87-W87</f>
        <v>-6</v>
      </c>
      <c r="BX87" s="310">
        <f>S87-X87</f>
        <v>-1</v>
      </c>
      <c r="BY87" s="310">
        <f>T87-Y87</f>
        <v>-2</v>
      </c>
      <c r="BZ87" s="310">
        <f>U87-Z87</f>
        <v>-3</v>
      </c>
      <c r="CA87" s="310">
        <f>SUM(BV87:BZ87)</f>
        <v>-16</v>
      </c>
      <c r="CB87" s="310">
        <f>V87+X87+Y87</f>
        <v>11</v>
      </c>
      <c r="CC87" s="310">
        <f>V87+X87</f>
        <v>7</v>
      </c>
      <c r="CD87" s="310">
        <f>V87+Y87</f>
        <v>9</v>
      </c>
      <c r="CE87" s="310" t="str">
        <f>IF(J87&gt;24,"Now - Age",IF(Q87&gt;6,"Now",IF(V87&lt;6,"With Dev",MIN(V87-Q87,7-Q87))))</f>
        <v>With Dev</v>
      </c>
      <c r="CF87" s="325" t="str">
        <f t="shared" si="12"/>
        <v/>
      </c>
      <c r="CG87" s="325" t="str">
        <f t="shared" si="14"/>
        <v/>
      </c>
      <c r="CH87" s="325" t="str">
        <f t="shared" si="15"/>
        <v/>
      </c>
      <c r="CI87" s="325" t="str">
        <f t="shared" si="16"/>
        <v/>
      </c>
      <c r="CJ87" s="325" t="str">
        <f t="shared" si="17"/>
        <v/>
      </c>
      <c r="CK87" s="325" t="str">
        <f t="shared" si="18"/>
        <v/>
      </c>
      <c r="CL87" s="325" t="str">
        <f t="shared" si="19"/>
        <v/>
      </c>
      <c r="CM87" s="325" t="str">
        <f t="shared" si="20"/>
        <v/>
      </c>
      <c r="CN87" s="325" t="str">
        <f>IF(COUNTBLANK(CF87:CM87)=8,"X","")</f>
        <v>X</v>
      </c>
    </row>
    <row r="88" spans="1:92">
      <c r="A88" s="308" t="s">
        <v>327</v>
      </c>
      <c r="B88" s="309" t="s">
        <v>18</v>
      </c>
      <c r="C88" s="310" t="str">
        <f>IF(BH88=1,3,IF(BI88=1,4,IF(BF88=1,1,IF(BJ88=1,5,IF(BG88=1,2,IF(BK88=1,6,IF(BL88=1,7,IF(BM88=1,8,IF(BN88=1,9,"-")))))))))</f>
        <v>-</v>
      </c>
      <c r="D88" s="310" t="str">
        <f>IF(AY88=1,3,IF(AZ88=1,4,IF(AW88=1,1,IF(BA88=1,5,IF(AX88=1,2,IF(BB88=1,6,IF(BC88=1,7,IF(BD88=1,8,IF(BE88=1,9,"-")))))))))</f>
        <v>-</v>
      </c>
      <c r="E88" s="310" t="str">
        <f>IF(OR(OR(O88="Very High",O88="High"),AND(OR(O88="Very High",O88="High",O88="Normal"),OR(P88="Very High",P88="High"))),"K","T")</f>
        <v>T</v>
      </c>
      <c r="F88" s="310" t="s">
        <v>97</v>
      </c>
      <c r="G88" s="310" t="s">
        <v>550</v>
      </c>
      <c r="H88" s="310" t="s">
        <v>383</v>
      </c>
      <c r="I88" s="310" t="s">
        <v>327</v>
      </c>
      <c r="J88" s="310">
        <v>17</v>
      </c>
      <c r="K88" s="310" t="s">
        <v>107</v>
      </c>
      <c r="L88" s="310" t="s">
        <v>106</v>
      </c>
      <c r="M88" s="310" t="s">
        <v>47</v>
      </c>
      <c r="N88" s="311" t="s">
        <v>47</v>
      </c>
      <c r="O88" s="310" t="s">
        <v>231</v>
      </c>
      <c r="P88" s="311" t="s">
        <v>230</v>
      </c>
      <c r="Q88" s="310">
        <v>1</v>
      </c>
      <c r="R88" s="310">
        <v>3</v>
      </c>
      <c r="S88" s="310">
        <v>2</v>
      </c>
      <c r="T88" s="310">
        <v>1</v>
      </c>
      <c r="U88" s="311">
        <v>1</v>
      </c>
      <c r="V88" s="310">
        <v>4</v>
      </c>
      <c r="W88" s="310">
        <v>7</v>
      </c>
      <c r="X88" s="310">
        <v>7</v>
      </c>
      <c r="Y88" s="310">
        <v>4</v>
      </c>
      <c r="Z88" s="311">
        <v>3</v>
      </c>
      <c r="AA88" s="310">
        <v>3</v>
      </c>
      <c r="AB88" s="310">
        <v>2</v>
      </c>
      <c r="AC88" s="310">
        <v>1</v>
      </c>
      <c r="AD88" s="310" t="s">
        <v>41</v>
      </c>
      <c r="AE88" s="310">
        <v>2</v>
      </c>
      <c r="AF88" s="310" t="s">
        <v>41</v>
      </c>
      <c r="AG88" s="310" t="s">
        <v>41</v>
      </c>
      <c r="AH88" s="310" t="s">
        <v>41</v>
      </c>
      <c r="AI88" s="310" t="s">
        <v>41</v>
      </c>
      <c r="AJ88" s="310" t="s">
        <v>41</v>
      </c>
      <c r="AK88" s="311" t="s">
        <v>41</v>
      </c>
      <c r="AL88" s="310">
        <v>3</v>
      </c>
      <c r="AM88" s="310">
        <v>1</v>
      </c>
      <c r="AN88" s="311">
        <v>1</v>
      </c>
      <c r="AO88" s="312" t="s">
        <v>41</v>
      </c>
      <c r="AP88" s="311">
        <v>0</v>
      </c>
      <c r="AQ88" s="313">
        <f>AVERAGE(Q88,S88,T88)+IF(OR(Q88&gt;7,AND(Q88&gt;5,T88&gt;5)),0.5,0)+IF(S88&gt;7,0.25,0)+IF(Q88&lt;6,-0.5*(6-Q88),0)</f>
        <v>-1.1666666666666667</v>
      </c>
      <c r="AR88" s="314" t="str">
        <f>IF(AQ88&gt;9,"SuperStar",IF(AQ88&gt;8,"Star",IF(AQ88&gt;6.5,"GoodReg",IF(AQ88&gt;5,"Reg",IF(AQ88&gt;4,"Bench","Minors")))))</f>
        <v>Minors</v>
      </c>
      <c r="AS88" s="313">
        <f>AVERAGE(V88,X88,Y88)+IF(OR(V88&gt;7,AND(V88&gt;5,Y88&gt;5)),0.5,0)+IF(X88&gt;7,0.25,0)+IF(V88&lt;6,-0.5*(6-V88),0)</f>
        <v>4</v>
      </c>
      <c r="AT88" s="313" t="str">
        <f>IF(AS88&gt;9,"SuperStar",IF(AS88&gt;8,"Star",IF(AS88&gt;6.5,"GoodReg",IF(AS88&gt;5,"Reg",IF(AS88&gt;4,"Bench","Minors")))))</f>
        <v>Minors</v>
      </c>
      <c r="AU88" s="314">
        <f>MIN(AQ88+(MAX(0,25-J88))^1.5,AS88)</f>
        <v>4</v>
      </c>
      <c r="AV88" s="314" t="str">
        <f>IF(AU88&gt;9,"SuperStar",IF(AU88&gt;8,"Star",IF(AU88&gt;6.5,"GoodReg",IF(AU88&gt;5,"Reg",IF(AU88&gt;4,"Bench","Minors")))))</f>
        <v>Minors</v>
      </c>
      <c r="AW88" s="315">
        <f>IF(AND(OR(Q88+T88&gt;12,AND(Q88&gt;6,T88&gt;6)),AL88&gt;6,OR(AM88&gt;=AL88,AM88&gt;6)),1,0)</f>
        <v>0</v>
      </c>
      <c r="AX88" s="316">
        <f>IF(OR(AND(Q88&gt;6,U88&gt;6),Q88+T88&gt;12),1,0)</f>
        <v>0</v>
      </c>
      <c r="AY88" s="316">
        <f>IF(AND(Q88&gt;6,S88&gt;6,T88&gt;6),1,0)</f>
        <v>0</v>
      </c>
      <c r="AZ88" s="316">
        <f>IF(AND(S88&gt;7,OR(Q88&gt;6,T88&gt;6)),1,0)</f>
        <v>0</v>
      </c>
      <c r="BA88" s="316">
        <f>IF(AND(S88&gt;6,OR(Q88&gt;6,T88&gt;6)),1,0)</f>
        <v>0</v>
      </c>
      <c r="BB88" s="316">
        <f>IF(AND(OR(Q88&gt;6,S88&gt;6),OR(Q88&gt;6,T88&gt;6)),1,0)</f>
        <v>0</v>
      </c>
      <c r="BC88" s="316">
        <f>IF(AND(Q88&gt;4,OR(Q88&gt;6,S88&gt;6,T88&gt;6)),1,0)</f>
        <v>0</v>
      </c>
      <c r="BD88" s="316">
        <f>IF(AND(Q88&gt;4,OR(Q88&gt;6,R88&gt;6,S88&gt;6,T88&gt;6)),1,0)</f>
        <v>0</v>
      </c>
      <c r="BE88" s="311">
        <f>IF(AND(Q88&gt;4,MAX(Q88:U88)&gt;6),1,0)</f>
        <v>0</v>
      </c>
      <c r="BF88" s="315">
        <f>IF(AND(OR(V88+Y88&gt;12,AND(V88&gt;6,Y88&gt;6)),AL88&gt;6,OR(AM88&gt;=AL88,AM88&gt;6)),1,0)</f>
        <v>0</v>
      </c>
      <c r="BG88" s="316">
        <f>IF(OR(AND(V88&gt;6,Z88&gt;6),V88+Y88&gt;12),1,0)</f>
        <v>0</v>
      </c>
      <c r="BH88" s="316">
        <f>IF(AND(V88&gt;6,X88&gt;6,Y88&gt;6),1,0)</f>
        <v>0</v>
      </c>
      <c r="BI88" s="316">
        <f>IF(AND(X88&gt;7,OR(V88&gt;6,Y88&gt;6)),1,0)</f>
        <v>0</v>
      </c>
      <c r="BJ88" s="316">
        <f>IF(AND(X88&gt;6,OR(V88&gt;6,Y88&gt;6)),1,0)</f>
        <v>0</v>
      </c>
      <c r="BK88" s="316">
        <f>IF(AND(OR(V88&gt;6,X88&gt;6),OR(V88&gt;6,Y88&gt;6)),1,0)</f>
        <v>0</v>
      </c>
      <c r="BL88" s="316">
        <f>IF(AND(V88&gt;4,OR(V88&gt;6,X88&gt;6,Y88&gt;6)),1,0)</f>
        <v>0</v>
      </c>
      <c r="BM88" s="316">
        <f>IF(AND(V88&gt;4,OR(V88&gt;6,W88&gt;6,X88&gt;6,Y88&gt;6)),1,0)</f>
        <v>0</v>
      </c>
      <c r="BN88" s="311">
        <f>IF(AND(V88&gt;4,MAX(V88:Z88)&gt;6),1,0)</f>
        <v>0</v>
      </c>
      <c r="BO88" s="311">
        <f>IF(AVERAGE(AL88:AM88)&gt;9,1,0)+IF(AVERAGE(AL88:AM88)&gt;7,1,0)+IF(AL88&gt;7,1,0)+IF(AM88&gt;7,1,0)+IF(AN88&gt;8,1,0)+IF(AN88&gt;6,1,0)</f>
        <v>0</v>
      </c>
      <c r="BP88" s="317">
        <f>IF(OR(MAX(AD88,AE88,AI88,AK88)&gt;6,MAX(AF88,AG88,AH88,AJ88)&gt;7),2,IF(MAX(AD88:AK88)&gt;4,1,0))</f>
        <v>0</v>
      </c>
      <c r="BQ88" s="310" t="str">
        <f>IF(AP88=1,"Yes","")</f>
        <v/>
      </c>
      <c r="BR88" s="309" t="str">
        <f>IF($A88="ML","There",IF(AND($V88&gt;=6,AVERAGE($X88:$Y88)&gt;=6),"Likely",IF(OR($V88&gt;6,AND($V88=6,AVERAGE($X88:$Y88)&gt;=3),AND($V88&gt;=5,AVERAGE($X88:$Y88)&gt;=5),AVERAGE($V88,$X88:$Y88)&gt;5),"Possible","Unlikely")))</f>
        <v>Unlikely</v>
      </c>
      <c r="BS88" s="310" t="str">
        <f>IF(OR(AND(Q88&gt;=6,S88+T88&gt;=12),Q88&gt;7),"Start",IF(AND(Q88&gt;=5,S88+T88&gt;=8),"Bench","aack!"))</f>
        <v>aack!</v>
      </c>
      <c r="BT88" s="310" t="str">
        <f>IF(OR(AND(V88&gt;=6,X88+Y88&gt;=12),V88&gt;7),"Start",IF(AND(V88&gt;=5,X88+Y88&gt;=8),"Bench","aack!"))</f>
        <v>aack!</v>
      </c>
      <c r="BU88" s="310" t="str">
        <f>IF(Q88&gt;5,"ML",IF(Q88=5,"AAA",IF(Q88=4,"AA",IF(Q88=3,"A","SS-A"))))</f>
        <v>SS-A</v>
      </c>
      <c r="BV88" s="310">
        <f>Q88-V88</f>
        <v>-3</v>
      </c>
      <c r="BW88" s="310">
        <f>R88-W88</f>
        <v>-4</v>
      </c>
      <c r="BX88" s="310">
        <f>S88-X88</f>
        <v>-5</v>
      </c>
      <c r="BY88" s="310">
        <f>T88-Y88</f>
        <v>-3</v>
      </c>
      <c r="BZ88" s="310">
        <f>U88-Z88</f>
        <v>-2</v>
      </c>
      <c r="CA88" s="310">
        <f>SUM(BV88:BZ88)</f>
        <v>-17</v>
      </c>
      <c r="CB88" s="310">
        <f>V88+X88+Y88</f>
        <v>15</v>
      </c>
      <c r="CC88" s="310">
        <f>V88+X88</f>
        <v>11</v>
      </c>
      <c r="CD88" s="310">
        <f>V88+Y88</f>
        <v>8</v>
      </c>
      <c r="CE88" s="310" t="str">
        <f>IF(J88&gt;24,"Now - Age",IF(Q88&gt;6,"Now",IF(V88&lt;6,"With Dev",MIN(V88-Q88,7-Q88))))</f>
        <v>With Dev</v>
      </c>
      <c r="CF88" s="325" t="str">
        <f t="shared" si="12"/>
        <v/>
      </c>
      <c r="CG88" s="325" t="str">
        <f t="shared" si="14"/>
        <v/>
      </c>
      <c r="CH88" s="325" t="str">
        <f t="shared" si="15"/>
        <v/>
      </c>
      <c r="CI88" s="325" t="str">
        <f t="shared" si="16"/>
        <v/>
      </c>
      <c r="CJ88" s="325" t="str">
        <f t="shared" si="17"/>
        <v/>
      </c>
      <c r="CK88" s="325" t="str">
        <f t="shared" si="18"/>
        <v/>
      </c>
      <c r="CL88" s="325" t="str">
        <f t="shared" si="19"/>
        <v/>
      </c>
      <c r="CM88" s="325" t="str">
        <f t="shared" si="20"/>
        <v/>
      </c>
      <c r="CN88" s="325" t="str">
        <f t="shared" ref="CN88:CN92" si="21">IF(COUNTBLANK(CF88:CM88)=8,"X","")</f>
        <v>X</v>
      </c>
    </row>
    <row r="89" spans="1:92">
      <c r="A89" s="308" t="s">
        <v>327</v>
      </c>
      <c r="B89" s="309"/>
      <c r="C89" s="310" t="str">
        <f>IF(BH89=1,3,IF(BI89=1,4,IF(BF89=1,1,IF(BJ89=1,5,IF(BG89=1,2,IF(BK89=1,6,IF(BL89=1,7,IF(BM89=1,8,IF(BN89=1,9,"-")))))))))</f>
        <v>-</v>
      </c>
      <c r="D89" s="310" t="str">
        <f>IF(AY89=1,3,IF(AZ89=1,4,IF(AW89=1,1,IF(BA89=1,5,IF(AX89=1,2,IF(BB89=1,6,IF(BC89=1,7,IF(BD89=1,8,IF(BE89=1,9,"-")))))))))</f>
        <v>-</v>
      </c>
      <c r="E89" s="310" t="str">
        <f>IF(OR(OR(O89="Very High",O89="High"),AND(OR(O89="Very High",O89="High",O89="Normal"),OR(P89="Very High",P89="High"))),"K","T")</f>
        <v>T</v>
      </c>
      <c r="F89" s="310" t="s">
        <v>97</v>
      </c>
      <c r="G89" s="310" t="s">
        <v>551</v>
      </c>
      <c r="H89" s="310" t="s">
        <v>383</v>
      </c>
      <c r="I89" s="310" t="s">
        <v>327</v>
      </c>
      <c r="J89" s="310">
        <v>19</v>
      </c>
      <c r="K89" s="310" t="s">
        <v>107</v>
      </c>
      <c r="L89" s="310" t="s">
        <v>107</v>
      </c>
      <c r="M89" s="310" t="s">
        <v>47</v>
      </c>
      <c r="N89" s="311" t="s">
        <v>47</v>
      </c>
      <c r="O89" s="310" t="s">
        <v>231</v>
      </c>
      <c r="P89" s="311" t="s">
        <v>229</v>
      </c>
      <c r="Q89" s="310">
        <v>1</v>
      </c>
      <c r="R89" s="310">
        <v>2</v>
      </c>
      <c r="S89" s="310">
        <v>1</v>
      </c>
      <c r="T89" s="310">
        <v>1</v>
      </c>
      <c r="U89" s="311">
        <v>1</v>
      </c>
      <c r="V89" s="310">
        <v>4</v>
      </c>
      <c r="W89" s="310">
        <v>6</v>
      </c>
      <c r="X89" s="310">
        <v>3</v>
      </c>
      <c r="Y89" s="310">
        <v>6</v>
      </c>
      <c r="Z89" s="311">
        <v>4</v>
      </c>
      <c r="AA89" s="310">
        <v>6</v>
      </c>
      <c r="AB89" s="310">
        <v>2</v>
      </c>
      <c r="AC89" s="310">
        <v>2</v>
      </c>
      <c r="AD89" s="310" t="s">
        <v>41</v>
      </c>
      <c r="AE89" s="310">
        <v>4</v>
      </c>
      <c r="AF89" s="310" t="s">
        <v>41</v>
      </c>
      <c r="AG89" s="310">
        <v>2</v>
      </c>
      <c r="AH89" s="310" t="s">
        <v>41</v>
      </c>
      <c r="AI89" s="310" t="s">
        <v>41</v>
      </c>
      <c r="AJ89" s="310" t="s">
        <v>41</v>
      </c>
      <c r="AK89" s="311" t="s">
        <v>41</v>
      </c>
      <c r="AL89" s="310">
        <v>3</v>
      </c>
      <c r="AM89" s="310">
        <v>4</v>
      </c>
      <c r="AN89" s="311">
        <v>5</v>
      </c>
      <c r="AO89" s="312" t="s">
        <v>41</v>
      </c>
      <c r="AP89" s="311" t="s">
        <v>45</v>
      </c>
      <c r="AQ89" s="313">
        <f>AVERAGE(Q89,S89,T89)+IF(OR(Q89&gt;7,AND(Q89&gt;5,T89&gt;5)),0.5,0)+IF(S89&gt;7,0.25,0)+IF(Q89&lt;6,-0.5*(6-Q89),0)</f>
        <v>-1.5</v>
      </c>
      <c r="AR89" s="314" t="str">
        <f>IF(AQ89&gt;9,"SuperStar",IF(AQ89&gt;8,"Star",IF(AQ89&gt;6.5,"GoodReg",IF(AQ89&gt;5,"Reg",IF(AQ89&gt;4,"Bench","Minors")))))</f>
        <v>Minors</v>
      </c>
      <c r="AS89" s="313">
        <f>AVERAGE(V89,X89,Y89)+IF(OR(V89&gt;7,AND(V89&gt;5,Y89&gt;5)),0.5,0)+IF(X89&gt;7,0.25,0)+IF(V89&lt;6,-0.5*(6-V89),0)</f>
        <v>3.333333333333333</v>
      </c>
      <c r="AT89" s="313" t="str">
        <f>IF(AS89&gt;9,"SuperStar",IF(AS89&gt;8,"Star",IF(AS89&gt;6.5,"GoodReg",IF(AS89&gt;5,"Reg",IF(AS89&gt;4,"Bench","Minors")))))</f>
        <v>Minors</v>
      </c>
      <c r="AU89" s="314">
        <f>MIN(AQ89+(MAX(0,25-J89))^1.5,AS89)</f>
        <v>3.333333333333333</v>
      </c>
      <c r="AV89" s="314" t="str">
        <f>IF(AU89&gt;9,"SuperStar",IF(AU89&gt;8,"Star",IF(AU89&gt;6.5,"GoodReg",IF(AU89&gt;5,"Reg",IF(AU89&gt;4,"Bench","Minors")))))</f>
        <v>Minors</v>
      </c>
      <c r="AW89" s="315">
        <f>IF(AND(OR(Q89+T89&gt;12,AND(Q89&gt;6,T89&gt;6)),AL89&gt;6,OR(AM89&gt;=AL89,AM89&gt;6)),1,0)</f>
        <v>0</v>
      </c>
      <c r="AX89" s="316">
        <f>IF(OR(AND(Q89&gt;6,U89&gt;6),Q89+T89&gt;12),1,0)</f>
        <v>0</v>
      </c>
      <c r="AY89" s="316">
        <f>IF(AND(Q89&gt;6,S89&gt;6,T89&gt;6),1,0)</f>
        <v>0</v>
      </c>
      <c r="AZ89" s="316">
        <f>IF(AND(S89&gt;7,OR(Q89&gt;6,T89&gt;6)),1,0)</f>
        <v>0</v>
      </c>
      <c r="BA89" s="316">
        <f>IF(AND(S89&gt;6,OR(Q89&gt;6,T89&gt;6)),1,0)</f>
        <v>0</v>
      </c>
      <c r="BB89" s="316">
        <f>IF(AND(OR(Q89&gt;6,S89&gt;6),OR(Q89&gt;6,T89&gt;6)),1,0)</f>
        <v>0</v>
      </c>
      <c r="BC89" s="316">
        <f>IF(AND(Q89&gt;4,OR(Q89&gt;6,S89&gt;6,T89&gt;6)),1,0)</f>
        <v>0</v>
      </c>
      <c r="BD89" s="316">
        <f>IF(AND(Q89&gt;4,OR(Q89&gt;6,R89&gt;6,S89&gt;6,T89&gt;6)),1,0)</f>
        <v>0</v>
      </c>
      <c r="BE89" s="311">
        <f>IF(AND(Q89&gt;4,MAX(Q89:U89)&gt;6),1,0)</f>
        <v>0</v>
      </c>
      <c r="BF89" s="315">
        <f>IF(AND(OR(V89+Y89&gt;12,AND(V89&gt;6,Y89&gt;6)),AL89&gt;6,OR(AM89&gt;=AL89,AM89&gt;6)),1,0)</f>
        <v>0</v>
      </c>
      <c r="BG89" s="316">
        <f>IF(OR(AND(V89&gt;6,Z89&gt;6),V89+Y89&gt;12),1,0)</f>
        <v>0</v>
      </c>
      <c r="BH89" s="316">
        <f>IF(AND(V89&gt;6,X89&gt;6,Y89&gt;6),1,0)</f>
        <v>0</v>
      </c>
      <c r="BI89" s="316">
        <f>IF(AND(X89&gt;7,OR(V89&gt;6,Y89&gt;6)),1,0)</f>
        <v>0</v>
      </c>
      <c r="BJ89" s="316">
        <f>IF(AND(X89&gt;6,OR(V89&gt;6,Y89&gt;6)),1,0)</f>
        <v>0</v>
      </c>
      <c r="BK89" s="316">
        <f>IF(AND(OR(V89&gt;6,X89&gt;6),OR(V89&gt;6,Y89&gt;6)),1,0)</f>
        <v>0</v>
      </c>
      <c r="BL89" s="316">
        <f>IF(AND(V89&gt;4,OR(V89&gt;6,X89&gt;6,Y89&gt;6)),1,0)</f>
        <v>0</v>
      </c>
      <c r="BM89" s="316">
        <f>IF(AND(V89&gt;4,OR(V89&gt;6,W89&gt;6,X89&gt;6,Y89&gt;6)),1,0)</f>
        <v>0</v>
      </c>
      <c r="BN89" s="311">
        <f>IF(AND(V89&gt;4,MAX(V89:Z89)&gt;6),1,0)</f>
        <v>0</v>
      </c>
      <c r="BO89" s="311">
        <f>IF(AVERAGE(AL89:AM89)&gt;9,1,0)+IF(AVERAGE(AL89:AM89)&gt;7,1,0)+IF(AL89&gt;7,1,0)+IF(AM89&gt;7,1,0)+IF(AN89&gt;8,1,0)+IF(AN89&gt;6,1,0)</f>
        <v>0</v>
      </c>
      <c r="BP89" s="317">
        <f>IF(OR(MAX(AD89,AE89,AI89,AK89)&gt;6,MAX(AF89,AG89,AH89,AJ89)&gt;7),2,IF(MAX(AD89:AK89)&gt;4,1,0))</f>
        <v>0</v>
      </c>
      <c r="BQ89" s="310" t="str">
        <f>IF(AP89=1,"Yes","")</f>
        <v/>
      </c>
      <c r="BR89" s="309" t="str">
        <f>IF($A89="ML","There",IF(AND($V89&gt;=6,AVERAGE($X89:$Y89)&gt;=6),"Likely",IF(OR($V89&gt;6,AND($V89=6,AVERAGE($X89:$Y89)&gt;=3),AND($V89&gt;=5,AVERAGE($X89:$Y89)&gt;=5),AVERAGE($V89,$X89:$Y89)&gt;5),"Possible","Unlikely")))</f>
        <v>Unlikely</v>
      </c>
      <c r="BS89" s="310" t="str">
        <f>IF(OR(AND(Q89&gt;=6,S89+T89&gt;=12),Q89&gt;7),"Start",IF(AND(Q89&gt;=5,S89+T89&gt;=8),"Bench","aack!"))</f>
        <v>aack!</v>
      </c>
      <c r="BT89" s="310" t="str">
        <f>IF(OR(AND(V89&gt;=6,X89+Y89&gt;=12),V89&gt;7),"Start",IF(AND(V89&gt;=5,X89+Y89&gt;=8),"Bench","aack!"))</f>
        <v>aack!</v>
      </c>
      <c r="BU89" s="310" t="str">
        <f>IF(Q89&gt;5,"ML",IF(Q89=5,"AAA",IF(Q89=4,"AA",IF(Q89=3,"A","SS-A"))))</f>
        <v>SS-A</v>
      </c>
      <c r="BV89" s="310">
        <f>Q89-V89</f>
        <v>-3</v>
      </c>
      <c r="BW89" s="310">
        <f>R89-W89</f>
        <v>-4</v>
      </c>
      <c r="BX89" s="310">
        <f>S89-X89</f>
        <v>-2</v>
      </c>
      <c r="BY89" s="310">
        <f>T89-Y89</f>
        <v>-5</v>
      </c>
      <c r="BZ89" s="310">
        <f>U89-Z89</f>
        <v>-3</v>
      </c>
      <c r="CA89" s="310">
        <f>SUM(BV89:BZ89)</f>
        <v>-17</v>
      </c>
      <c r="CB89" s="310">
        <f>V89+X89+Y89</f>
        <v>13</v>
      </c>
      <c r="CC89" s="310">
        <f>V89+X89</f>
        <v>7</v>
      </c>
      <c r="CD89" s="310">
        <f>V89+Y89</f>
        <v>10</v>
      </c>
      <c r="CE89" s="310" t="str">
        <f>IF(J89&gt;24,"Now - Age",IF(Q89&gt;6,"Now",IF(V89&lt;6,"With Dev",MIN(V89-Q89,7-Q89))))</f>
        <v>With Dev</v>
      </c>
      <c r="CF89" s="325" t="str">
        <f t="shared" si="12"/>
        <v/>
      </c>
      <c r="CG89" s="325" t="str">
        <f t="shared" si="14"/>
        <v/>
      </c>
      <c r="CH89" s="325" t="str">
        <f t="shared" si="15"/>
        <v/>
      </c>
      <c r="CI89" s="325" t="str">
        <f t="shared" si="16"/>
        <v/>
      </c>
      <c r="CJ89" s="325" t="str">
        <f t="shared" si="17"/>
        <v/>
      </c>
      <c r="CK89" s="325" t="str">
        <f t="shared" si="18"/>
        <v/>
      </c>
      <c r="CL89" s="325" t="str">
        <f t="shared" si="19"/>
        <v/>
      </c>
      <c r="CM89" s="325" t="str">
        <f t="shared" si="20"/>
        <v/>
      </c>
      <c r="CN89" s="325" t="str">
        <f t="shared" si="21"/>
        <v>X</v>
      </c>
    </row>
    <row r="90" spans="1:92">
      <c r="A90" s="308" t="s">
        <v>645</v>
      </c>
      <c r="B90" s="309"/>
      <c r="C90" s="310" t="str">
        <f>IF(BH90=1,3,IF(BI90=1,4,IF(BF90=1,1,IF(BJ90=1,5,IF(BG90=1,2,IF(BK90=1,6,IF(BL90=1,7,IF(BM90=1,8,IF(BN90=1,9,"-")))))))))</f>
        <v>-</v>
      </c>
      <c r="D90" s="310" t="str">
        <f>IF(AY90=1,3,IF(AZ90=1,4,IF(AW90=1,1,IF(BA90=1,5,IF(AX90=1,2,IF(BB90=1,6,IF(BC90=1,7,IF(BD90=1,8,IF(BE90=1,9,"-")))))))))</f>
        <v>-</v>
      </c>
      <c r="E90" s="310" t="str">
        <f>IF(OR(OR(O90="Very High",O90="High"),AND(OR(O90="Very High",O90="High",O90="Normal"),OR(P90="Very High",P90="High"))),"K","T")</f>
        <v>T</v>
      </c>
      <c r="F90" s="310" t="s">
        <v>95</v>
      </c>
      <c r="G90" s="310" t="s">
        <v>55</v>
      </c>
      <c r="H90" s="310" t="s">
        <v>386</v>
      </c>
      <c r="I90" s="310" t="s">
        <v>215</v>
      </c>
      <c r="J90" s="310">
        <v>27</v>
      </c>
      <c r="K90" s="310" t="s">
        <v>107</v>
      </c>
      <c r="L90" s="310" t="s">
        <v>107</v>
      </c>
      <c r="M90" s="310" t="s">
        <v>47</v>
      </c>
      <c r="N90" s="311" t="s">
        <v>47</v>
      </c>
      <c r="O90" s="310" t="s">
        <v>230</v>
      </c>
      <c r="P90" s="311" t="s">
        <v>230</v>
      </c>
      <c r="Q90" s="310">
        <v>4</v>
      </c>
      <c r="R90" s="310">
        <v>4</v>
      </c>
      <c r="S90" s="310">
        <v>4</v>
      </c>
      <c r="T90" s="310">
        <v>4</v>
      </c>
      <c r="U90" s="311">
        <v>5</v>
      </c>
      <c r="V90" s="310">
        <v>4</v>
      </c>
      <c r="W90" s="310">
        <v>4</v>
      </c>
      <c r="X90" s="310">
        <v>4</v>
      </c>
      <c r="Y90" s="310">
        <v>4</v>
      </c>
      <c r="Z90" s="311">
        <v>5</v>
      </c>
      <c r="AA90" s="310">
        <v>10</v>
      </c>
      <c r="AB90" s="310">
        <v>10</v>
      </c>
      <c r="AC90" s="310">
        <v>9</v>
      </c>
      <c r="AD90" s="310">
        <v>10</v>
      </c>
      <c r="AE90" s="310">
        <v>1</v>
      </c>
      <c r="AF90" s="310" t="s">
        <v>41</v>
      </c>
      <c r="AG90" s="310" t="s">
        <v>41</v>
      </c>
      <c r="AH90" s="310" t="s">
        <v>41</v>
      </c>
      <c r="AI90" s="310" t="s">
        <v>41</v>
      </c>
      <c r="AJ90" s="310" t="s">
        <v>41</v>
      </c>
      <c r="AK90" s="311" t="s">
        <v>41</v>
      </c>
      <c r="AL90" s="310">
        <v>1</v>
      </c>
      <c r="AM90" s="310">
        <v>1</v>
      </c>
      <c r="AN90" s="311">
        <v>1</v>
      </c>
      <c r="AO90" s="312" t="s">
        <v>41</v>
      </c>
      <c r="AP90" s="311">
        <v>0</v>
      </c>
      <c r="AQ90" s="313">
        <f>AVERAGE(Q90,S90,T90)+IF(OR(Q90&gt;7,AND(Q90&gt;5,T90&gt;5)),0.5,0)+IF(S90&gt;7,0.25,0)+IF(Q90&lt;6,-0.5*(6-Q90),0)</f>
        <v>3</v>
      </c>
      <c r="AR90" s="314" t="str">
        <f>IF(AQ90&gt;9,"SuperStar",IF(AQ90&gt;8,"Star",IF(AQ90&gt;6.5,"GoodReg",IF(AQ90&gt;5,"Reg",IF(AQ90&gt;4,"Bench","Minors")))))</f>
        <v>Minors</v>
      </c>
      <c r="AS90" s="313">
        <f>AVERAGE(V90,X90,Y90)+IF(OR(V90&gt;7,AND(V90&gt;5,Y90&gt;5)),0.5,0)+IF(X90&gt;7,0.25,0)+IF(V90&lt;6,-0.5*(6-V90),0)</f>
        <v>3</v>
      </c>
      <c r="AT90" s="313" t="str">
        <f>IF(AS90&gt;9,"SuperStar",IF(AS90&gt;8,"Star",IF(AS90&gt;6.5,"GoodReg",IF(AS90&gt;5,"Reg",IF(AS90&gt;4,"Bench","Minors")))))</f>
        <v>Minors</v>
      </c>
      <c r="AU90" s="314">
        <f>MIN(AQ90+(MAX(0,25-J90))^1.5,AS90)</f>
        <v>3</v>
      </c>
      <c r="AV90" s="314" t="str">
        <f>IF(AU90&gt;9,"SuperStar",IF(AU90&gt;8,"Star",IF(AU90&gt;6.5,"GoodReg",IF(AU90&gt;5,"Reg",IF(AU90&gt;4,"Bench","Minors")))))</f>
        <v>Minors</v>
      </c>
      <c r="AW90" s="315">
        <f>IF(AND(OR(Q90+T90&gt;12,AND(Q90&gt;6,T90&gt;6)),AL90&gt;6,OR(AM90&gt;=AL90,AM90&gt;6)),1,0)</f>
        <v>0</v>
      </c>
      <c r="AX90" s="316">
        <f>IF(OR(AND(Q90&gt;6,U90&gt;6),Q90+T90&gt;12),1,0)</f>
        <v>0</v>
      </c>
      <c r="AY90" s="316">
        <f>IF(AND(Q90&gt;6,S90&gt;6,T90&gt;6),1,0)</f>
        <v>0</v>
      </c>
      <c r="AZ90" s="316">
        <f>IF(AND(S90&gt;7,OR(Q90&gt;6,T90&gt;6)),1,0)</f>
        <v>0</v>
      </c>
      <c r="BA90" s="316">
        <f>IF(AND(S90&gt;6,OR(Q90&gt;6,T90&gt;6)),1,0)</f>
        <v>0</v>
      </c>
      <c r="BB90" s="316">
        <f>IF(AND(OR(Q90&gt;6,S90&gt;6),OR(Q90&gt;6,T90&gt;6)),1,0)</f>
        <v>0</v>
      </c>
      <c r="BC90" s="316">
        <f>IF(AND(Q90&gt;4,OR(Q90&gt;6,S90&gt;6,T90&gt;6)),1,0)</f>
        <v>0</v>
      </c>
      <c r="BD90" s="316">
        <f>IF(AND(Q90&gt;4,OR(Q90&gt;6,R90&gt;6,S90&gt;6,T90&gt;6)),1,0)</f>
        <v>0</v>
      </c>
      <c r="BE90" s="311">
        <f>IF(AND(Q90&gt;4,MAX(Q90:U90)&gt;6),1,0)</f>
        <v>0</v>
      </c>
      <c r="BF90" s="315">
        <f>IF(AND(OR(V90+Y90&gt;12,AND(V90&gt;6,Y90&gt;6)),AL90&gt;6,OR(AM90&gt;=AL90,AM90&gt;6)),1,0)</f>
        <v>0</v>
      </c>
      <c r="BG90" s="316">
        <f>IF(OR(AND(V90&gt;6,Z90&gt;6),V90+Y90&gt;12),1,0)</f>
        <v>0</v>
      </c>
      <c r="BH90" s="316">
        <f>IF(AND(V90&gt;6,X90&gt;6,Y90&gt;6),1,0)</f>
        <v>0</v>
      </c>
      <c r="BI90" s="316">
        <f>IF(AND(X90&gt;7,OR(V90&gt;6,Y90&gt;6)),1,0)</f>
        <v>0</v>
      </c>
      <c r="BJ90" s="316">
        <f>IF(AND(X90&gt;6,OR(V90&gt;6,Y90&gt;6)),1,0)</f>
        <v>0</v>
      </c>
      <c r="BK90" s="316">
        <f>IF(AND(OR(V90&gt;6,X90&gt;6),OR(V90&gt;6,Y90&gt;6)),1,0)</f>
        <v>0</v>
      </c>
      <c r="BL90" s="316">
        <f>IF(AND(V90&gt;4,OR(V90&gt;6,X90&gt;6,Y90&gt;6)),1,0)</f>
        <v>0</v>
      </c>
      <c r="BM90" s="316">
        <f>IF(AND(V90&gt;4,OR(V90&gt;6,W90&gt;6,X90&gt;6,Y90&gt;6)),1,0)</f>
        <v>0</v>
      </c>
      <c r="BN90" s="311">
        <f>IF(AND(V90&gt;4,MAX(V90:Z90)&gt;6),1,0)</f>
        <v>0</v>
      </c>
      <c r="BO90" s="311">
        <f>IF(AVERAGE(AL90:AM90)&gt;9,1,0)+IF(AVERAGE(AL90:AM90)&gt;7,1,0)+IF(AL90&gt;7,1,0)+IF(AM90&gt;7,1,0)+IF(AN90&gt;8,1,0)+IF(AN90&gt;6,1,0)</f>
        <v>0</v>
      </c>
      <c r="BP90" s="317">
        <f>IF(OR(MAX(AD90,AE90,AI90,AK90)&gt;6,MAX(AF90,AG90,AH90,AJ90)&gt;7),2,IF(MAX(AD90:AK90)&gt;4,1,0))</f>
        <v>2</v>
      </c>
      <c r="BQ90" s="310" t="str">
        <f>IF(AP90=1,"Yes","")</f>
        <v/>
      </c>
      <c r="BR90" s="309" t="str">
        <f>IF($A90="ML","There",IF(AND($V90&gt;=6,AVERAGE($X90:$Y90)&gt;=6),"Likely",IF(OR($V90&gt;6,AND($V90=6,AVERAGE($X90:$Y90)&gt;=3),AND($V90&gt;=5,AVERAGE($X90:$Y90)&gt;=5),AVERAGE($V90,$X90:$Y90)&gt;5),"Possible","Unlikely")))</f>
        <v>Unlikely</v>
      </c>
      <c r="BS90" s="310" t="str">
        <f>IF(OR(AND(Q90&gt;=6,S90+T90&gt;=12),Q90&gt;7),"Start",IF(AND(Q90&gt;=5,S90+T90&gt;=8),"Bench","aack!"))</f>
        <v>aack!</v>
      </c>
      <c r="BT90" s="310" t="str">
        <f>IF(OR(AND(V90&gt;=6,X90+Y90&gt;=12),V90&gt;7),"Start",IF(AND(V90&gt;=5,X90+Y90&gt;=8),"Bench","aack!"))</f>
        <v>aack!</v>
      </c>
      <c r="BU90" s="310" t="str">
        <f>IF(Q90&gt;5,"ML",IF(Q90=5,"AAA",IF(Q90=4,"AA",IF(Q90=3,"A","SS-A"))))</f>
        <v>AA</v>
      </c>
      <c r="BV90" s="310">
        <f>Q90-V90</f>
        <v>0</v>
      </c>
      <c r="BW90" s="310">
        <f>R90-W90</f>
        <v>0</v>
      </c>
      <c r="BX90" s="310">
        <f>S90-X90</f>
        <v>0</v>
      </c>
      <c r="BY90" s="310">
        <f>T90-Y90</f>
        <v>0</v>
      </c>
      <c r="BZ90" s="310">
        <f>U90-Z90</f>
        <v>0</v>
      </c>
      <c r="CA90" s="310">
        <f>SUM(BV90:BZ90)</f>
        <v>0</v>
      </c>
      <c r="CB90" s="310">
        <f>V90+X90+Y90</f>
        <v>12</v>
      </c>
      <c r="CC90" s="310">
        <f>V90+X90</f>
        <v>8</v>
      </c>
      <c r="CD90" s="310">
        <f>V90+Y90</f>
        <v>8</v>
      </c>
      <c r="CE90" s="310" t="str">
        <f>IF(J90&gt;24,"Now - Age",IF(Q90&gt;6,"Now",IF(V90&lt;6,"With Dev",MIN(V90-Q90,7-Q90))))</f>
        <v>Now - Age</v>
      </c>
      <c r="CF90" s="325" t="str">
        <f t="shared" si="12"/>
        <v>X</v>
      </c>
      <c r="CG90" s="325" t="str">
        <f t="shared" si="14"/>
        <v/>
      </c>
      <c r="CH90" s="325" t="str">
        <f t="shared" si="15"/>
        <v/>
      </c>
      <c r="CI90" s="325" t="str">
        <f t="shared" si="16"/>
        <v/>
      </c>
      <c r="CJ90" s="325" t="str">
        <f t="shared" si="17"/>
        <v/>
      </c>
      <c r="CK90" s="325" t="str">
        <f t="shared" si="18"/>
        <v/>
      </c>
      <c r="CL90" s="325" t="str">
        <f t="shared" si="19"/>
        <v/>
      </c>
      <c r="CM90" s="325" t="str">
        <f t="shared" si="20"/>
        <v/>
      </c>
      <c r="CN90" s="325" t="str">
        <f t="shared" si="21"/>
        <v/>
      </c>
    </row>
    <row r="91" spans="1:92">
      <c r="A91" s="308" t="s">
        <v>645</v>
      </c>
      <c r="B91" s="309"/>
      <c r="C91" s="310">
        <f>IF(BH91=1,3,IF(BI91=1,4,IF(BF91=1,1,IF(BJ91=1,5,IF(BG91=1,2,IF(BK91=1,6,IF(BL91=1,7,IF(BM91=1,8,IF(BN91=1,9,"-")))))))))</f>
        <v>9</v>
      </c>
      <c r="D91" s="310" t="str">
        <f>IF(AY91=1,3,IF(AZ91=1,4,IF(AW91=1,1,IF(BA91=1,5,IF(AX91=1,2,IF(BB91=1,6,IF(BC91=1,7,IF(BD91=1,8,IF(BE91=1,9,"-")))))))))</f>
        <v>-</v>
      </c>
      <c r="E91" s="310" t="str">
        <f>IF(OR(OR(O91="Very High",O91="High"),AND(OR(O91="Very High",O91="High",O91="Normal"),OR(P91="Very High",P91="High"))),"K","T")</f>
        <v>K</v>
      </c>
      <c r="F91" s="310" t="s">
        <v>101</v>
      </c>
      <c r="G91" s="310" t="s">
        <v>387</v>
      </c>
      <c r="H91" s="310" t="s">
        <v>383</v>
      </c>
      <c r="I91" s="310" t="s">
        <v>327</v>
      </c>
      <c r="J91" s="310">
        <v>22</v>
      </c>
      <c r="K91" s="310" t="s">
        <v>107</v>
      </c>
      <c r="L91" s="310" t="s">
        <v>107</v>
      </c>
      <c r="M91" s="310" t="s">
        <v>47</v>
      </c>
      <c r="N91" s="311" t="s">
        <v>47</v>
      </c>
      <c r="O91" s="310" t="s">
        <v>229</v>
      </c>
      <c r="P91" s="311" t="s">
        <v>230</v>
      </c>
      <c r="Q91" s="310">
        <v>4</v>
      </c>
      <c r="R91" s="310">
        <v>2</v>
      </c>
      <c r="S91" s="310">
        <v>2</v>
      </c>
      <c r="T91" s="310">
        <v>2</v>
      </c>
      <c r="U91" s="311">
        <v>5</v>
      </c>
      <c r="V91" s="310">
        <v>5</v>
      </c>
      <c r="W91" s="310">
        <v>2</v>
      </c>
      <c r="X91" s="310">
        <v>2</v>
      </c>
      <c r="Y91" s="310">
        <v>2</v>
      </c>
      <c r="Z91" s="311">
        <v>8</v>
      </c>
      <c r="AA91" s="310">
        <v>1</v>
      </c>
      <c r="AB91" s="310">
        <v>6</v>
      </c>
      <c r="AC91" s="310">
        <v>1</v>
      </c>
      <c r="AD91" s="310" t="s">
        <v>41</v>
      </c>
      <c r="AE91" s="310" t="s">
        <v>41</v>
      </c>
      <c r="AF91" s="310" t="s">
        <v>41</v>
      </c>
      <c r="AG91" s="310" t="s">
        <v>41</v>
      </c>
      <c r="AH91" s="310" t="s">
        <v>41</v>
      </c>
      <c r="AI91" s="310">
        <v>5</v>
      </c>
      <c r="AJ91" s="310">
        <v>3</v>
      </c>
      <c r="AK91" s="311">
        <v>3</v>
      </c>
      <c r="AL91" s="310">
        <v>8</v>
      </c>
      <c r="AM91" s="310">
        <v>10</v>
      </c>
      <c r="AN91" s="311">
        <v>10</v>
      </c>
      <c r="AO91" s="312" t="s">
        <v>41</v>
      </c>
      <c r="AP91" s="311">
        <v>0</v>
      </c>
      <c r="AQ91" s="313">
        <f>AVERAGE(Q91,S91,T91)+IF(OR(Q91&gt;7,AND(Q91&gt;5,T91&gt;5)),0.5,0)+IF(S91&gt;7,0.25,0)+IF(Q91&lt;6,-0.5*(6-Q91),0)</f>
        <v>1.6666666666666665</v>
      </c>
      <c r="AR91" s="314" t="str">
        <f>IF(AQ91&gt;9,"SuperStar",IF(AQ91&gt;8,"Star",IF(AQ91&gt;6.5,"GoodReg",IF(AQ91&gt;5,"Reg",IF(AQ91&gt;4,"Bench","Minors")))))</f>
        <v>Minors</v>
      </c>
      <c r="AS91" s="313">
        <f>AVERAGE(V91,X91,Y91)+IF(OR(V91&gt;7,AND(V91&gt;5,Y91&gt;5)),0.5,0)+IF(X91&gt;7,0.25,0)+IF(V91&lt;6,-0.5*(6-V91),0)</f>
        <v>2.5</v>
      </c>
      <c r="AT91" s="313" t="str">
        <f>IF(AS91&gt;9,"SuperStar",IF(AS91&gt;8,"Star",IF(AS91&gt;6.5,"GoodReg",IF(AS91&gt;5,"Reg",IF(AS91&gt;4,"Bench","Minors")))))</f>
        <v>Minors</v>
      </c>
      <c r="AU91" s="314">
        <f>MIN(AQ91+(MAX(0,25-J91))^1.5,AS91)</f>
        <v>2.5</v>
      </c>
      <c r="AV91" s="314" t="str">
        <f>IF(AU91&gt;9,"SuperStar",IF(AU91&gt;8,"Star",IF(AU91&gt;6.5,"GoodReg",IF(AU91&gt;5,"Reg",IF(AU91&gt;4,"Bench","Minors")))))</f>
        <v>Minors</v>
      </c>
      <c r="AW91" s="315">
        <f>IF(AND(OR(Q91+T91&gt;12,AND(Q91&gt;6,T91&gt;6)),AL91&gt;6,OR(AM91&gt;=AL91,AM91&gt;6)),1,0)</f>
        <v>0</v>
      </c>
      <c r="AX91" s="316">
        <f>IF(OR(AND(Q91&gt;6,U91&gt;6),Q91+T91&gt;12),1,0)</f>
        <v>0</v>
      </c>
      <c r="AY91" s="316">
        <f>IF(AND(Q91&gt;6,S91&gt;6,T91&gt;6),1,0)</f>
        <v>0</v>
      </c>
      <c r="AZ91" s="316">
        <f>IF(AND(S91&gt;7,OR(Q91&gt;6,T91&gt;6)),1,0)</f>
        <v>0</v>
      </c>
      <c r="BA91" s="316">
        <f>IF(AND(S91&gt;6,OR(Q91&gt;6,T91&gt;6)),1,0)</f>
        <v>0</v>
      </c>
      <c r="BB91" s="316">
        <f>IF(AND(OR(Q91&gt;6,S91&gt;6),OR(Q91&gt;6,T91&gt;6)),1,0)</f>
        <v>0</v>
      </c>
      <c r="BC91" s="316">
        <f>IF(AND(Q91&gt;4,OR(Q91&gt;6,S91&gt;6,T91&gt;6)),1,0)</f>
        <v>0</v>
      </c>
      <c r="BD91" s="316">
        <f>IF(AND(Q91&gt;4,OR(Q91&gt;6,R91&gt;6,S91&gt;6,T91&gt;6)),1,0)</f>
        <v>0</v>
      </c>
      <c r="BE91" s="311">
        <f>IF(AND(Q91&gt;4,MAX(Q91:U91)&gt;6),1,0)</f>
        <v>0</v>
      </c>
      <c r="BF91" s="315">
        <f>IF(AND(OR(V91+Y91&gt;12,AND(V91&gt;6,Y91&gt;6)),AL91&gt;6,OR(AM91&gt;=AL91,AM91&gt;6)),1,0)</f>
        <v>0</v>
      </c>
      <c r="BG91" s="316">
        <f>IF(OR(AND(V91&gt;6,Z91&gt;6),V91+Y91&gt;12),1,0)</f>
        <v>0</v>
      </c>
      <c r="BH91" s="316">
        <f>IF(AND(V91&gt;6,X91&gt;6,Y91&gt;6),1,0)</f>
        <v>0</v>
      </c>
      <c r="BI91" s="316">
        <f>IF(AND(X91&gt;7,OR(V91&gt;6,Y91&gt;6)),1,0)</f>
        <v>0</v>
      </c>
      <c r="BJ91" s="316">
        <f>IF(AND(X91&gt;6,OR(V91&gt;6,Y91&gt;6)),1,0)</f>
        <v>0</v>
      </c>
      <c r="BK91" s="316">
        <f>IF(AND(OR(V91&gt;6,X91&gt;6),OR(V91&gt;6,Y91&gt;6)),1,0)</f>
        <v>0</v>
      </c>
      <c r="BL91" s="316">
        <f>IF(AND(V91&gt;4,OR(V91&gt;6,X91&gt;6,Y91&gt;6)),1,0)</f>
        <v>0</v>
      </c>
      <c r="BM91" s="316">
        <f>IF(AND(V91&gt;4,OR(V91&gt;6,W91&gt;6,X91&gt;6,Y91&gt;6)),1,0)</f>
        <v>0</v>
      </c>
      <c r="BN91" s="311">
        <f>IF(AND(V91&gt;4,MAX(V91:Z91)&gt;6),1,0)</f>
        <v>1</v>
      </c>
      <c r="BO91" s="311">
        <f>IF(AVERAGE(AL91:AM91)&gt;9,1,0)+IF(AVERAGE(AL91:AM91)&gt;7,1,0)+IF(AL91&gt;7,1,0)+IF(AM91&gt;7,1,0)+IF(AN91&gt;8,1,0)+IF(AN91&gt;6,1,0)</f>
        <v>5</v>
      </c>
      <c r="BP91" s="317">
        <f>IF(OR(MAX(AD91,AE91,AI91,AK91)&gt;6,MAX(AF91,AG91,AH91,AJ91)&gt;7),2,IF(MAX(AD91:AK91)&gt;4,1,0))</f>
        <v>1</v>
      </c>
      <c r="BQ91" s="310" t="str">
        <f>IF(AP91=1,"Yes","")</f>
        <v/>
      </c>
      <c r="BR91" s="309" t="str">
        <f>IF($A91="ML","There",IF(AND($V91&gt;=6,AVERAGE($X91:$Y91)&gt;=6),"Likely",IF(OR($V91&gt;6,AND($V91=6,AVERAGE($X91:$Y91)&gt;=3),AND($V91&gt;=5,AVERAGE($X91:$Y91)&gt;=5),AVERAGE($V91,$X91:$Y91)&gt;5),"Possible","Unlikely")))</f>
        <v>Unlikely</v>
      </c>
      <c r="BS91" s="310" t="str">
        <f>IF(OR(AND(Q91&gt;=6,S91+T91&gt;=12),Q91&gt;7),"Start",IF(AND(Q91&gt;=5,S91+T91&gt;=8),"Bench","aack!"))</f>
        <v>aack!</v>
      </c>
      <c r="BT91" s="310" t="str">
        <f>IF(OR(AND(V91&gt;=6,X91+Y91&gt;=12),V91&gt;7),"Start",IF(AND(V91&gt;=5,X91+Y91&gt;=8),"Bench","aack!"))</f>
        <v>aack!</v>
      </c>
      <c r="BU91" s="310" t="str">
        <f>IF(Q91&gt;5,"ML",IF(Q91=5,"AAA",IF(Q91=4,"AA",IF(Q91=3,"A","SS-A"))))</f>
        <v>AA</v>
      </c>
      <c r="BV91" s="310">
        <f>Q91-V91</f>
        <v>-1</v>
      </c>
      <c r="BW91" s="310">
        <f>R91-W91</f>
        <v>0</v>
      </c>
      <c r="BX91" s="310">
        <f>S91-X91</f>
        <v>0</v>
      </c>
      <c r="BY91" s="310">
        <f>T91-Y91</f>
        <v>0</v>
      </c>
      <c r="BZ91" s="310">
        <f>U91-Z91</f>
        <v>-3</v>
      </c>
      <c r="CA91" s="310">
        <f>SUM(BV91:BZ91)</f>
        <v>-4</v>
      </c>
      <c r="CB91" s="310">
        <f>V91+X91+Y91</f>
        <v>9</v>
      </c>
      <c r="CC91" s="310">
        <f>V91+X91</f>
        <v>7</v>
      </c>
      <c r="CD91" s="310">
        <f>V91+Y91</f>
        <v>7</v>
      </c>
      <c r="CE91" s="310" t="str">
        <f>IF(J91&gt;24,"Now - Age",IF(Q91&gt;6,"Now",IF(V91&lt;6,"With Dev",MIN(V91-Q91,7-Q91))))</f>
        <v>With Dev</v>
      </c>
      <c r="CF91" s="325" t="str">
        <f t="shared" si="12"/>
        <v/>
      </c>
      <c r="CG91" s="325" t="str">
        <f t="shared" si="14"/>
        <v/>
      </c>
      <c r="CH91" s="325" t="str">
        <f t="shared" si="15"/>
        <v/>
      </c>
      <c r="CI91" s="325" t="str">
        <f t="shared" si="16"/>
        <v/>
      </c>
      <c r="CJ91" s="325" t="str">
        <f t="shared" si="17"/>
        <v/>
      </c>
      <c r="CK91" s="325" t="str">
        <f t="shared" si="18"/>
        <v>X</v>
      </c>
      <c r="CL91" s="325" t="str">
        <f t="shared" si="19"/>
        <v/>
      </c>
      <c r="CM91" s="325" t="str">
        <f t="shared" si="20"/>
        <v/>
      </c>
      <c r="CN91" s="325" t="str">
        <f t="shared" si="21"/>
        <v/>
      </c>
    </row>
    <row r="92" spans="1:92">
      <c r="A92" s="308" t="s">
        <v>645</v>
      </c>
      <c r="B92" s="309"/>
      <c r="C92" s="310" t="str">
        <f>IF(BH92=1,3,IF(BI92=1,4,IF(BF92=1,1,IF(BJ92=1,5,IF(BG92=1,2,IF(BK92=1,6,IF(BL92=1,7,IF(BM92=1,8,IF(BN92=1,9,"-")))))))))</f>
        <v>-</v>
      </c>
      <c r="D92" s="310" t="str">
        <f>IF(AY92=1,3,IF(AZ92=1,4,IF(AW92=1,1,IF(BA92=1,5,IF(AX92=1,2,IF(BB92=1,6,IF(BC92=1,7,IF(BD92=1,8,IF(BE92=1,9,"-")))))))))</f>
        <v>-</v>
      </c>
      <c r="E92" s="310" t="str">
        <f>IF(OR(OR(O92="Very High",O92="High"),AND(OR(O92="Very High",O92="High",O92="Normal"),OR(P92="Very High",P92="High"))),"K","T")</f>
        <v>T</v>
      </c>
      <c r="F92" s="310" t="s">
        <v>100</v>
      </c>
      <c r="G92" s="310" t="s">
        <v>463</v>
      </c>
      <c r="H92" s="310" t="s">
        <v>383</v>
      </c>
      <c r="I92" s="310" t="s">
        <v>327</v>
      </c>
      <c r="J92" s="310">
        <v>19</v>
      </c>
      <c r="K92" s="310" t="s">
        <v>106</v>
      </c>
      <c r="L92" s="310" t="s">
        <v>107</v>
      </c>
      <c r="M92" s="310" t="s">
        <v>47</v>
      </c>
      <c r="N92" s="311" t="s">
        <v>47</v>
      </c>
      <c r="O92" s="310" t="s">
        <v>231</v>
      </c>
      <c r="P92" s="311" t="s">
        <v>230</v>
      </c>
      <c r="Q92" s="310">
        <v>3</v>
      </c>
      <c r="R92" s="310">
        <v>5</v>
      </c>
      <c r="S92" s="310">
        <v>1</v>
      </c>
      <c r="T92" s="310">
        <v>2</v>
      </c>
      <c r="U92" s="311">
        <v>2</v>
      </c>
      <c r="V92" s="310">
        <v>3</v>
      </c>
      <c r="W92" s="310">
        <v>6</v>
      </c>
      <c r="X92" s="310">
        <v>1</v>
      </c>
      <c r="Y92" s="310">
        <v>3</v>
      </c>
      <c r="Z92" s="311">
        <v>3</v>
      </c>
      <c r="AA92" s="310">
        <v>9</v>
      </c>
      <c r="AB92" s="310">
        <v>3</v>
      </c>
      <c r="AC92" s="310">
        <v>1</v>
      </c>
      <c r="AD92" s="310" t="s">
        <v>41</v>
      </c>
      <c r="AE92" s="310" t="s">
        <v>41</v>
      </c>
      <c r="AF92" s="310" t="s">
        <v>41</v>
      </c>
      <c r="AG92" s="310">
        <v>1</v>
      </c>
      <c r="AH92" s="310">
        <v>3</v>
      </c>
      <c r="AI92" s="310" t="s">
        <v>41</v>
      </c>
      <c r="AJ92" s="310" t="s">
        <v>41</v>
      </c>
      <c r="AK92" s="311" t="s">
        <v>41</v>
      </c>
      <c r="AL92" s="310">
        <v>8</v>
      </c>
      <c r="AM92" s="310">
        <v>9</v>
      </c>
      <c r="AN92" s="311">
        <v>10</v>
      </c>
      <c r="AO92" s="312" t="s">
        <v>41</v>
      </c>
      <c r="AP92" s="311" t="s">
        <v>45</v>
      </c>
      <c r="AQ92" s="313">
        <f>AVERAGE(Q92,S92,T92)+IF(OR(Q92&gt;7,AND(Q92&gt;5,T92&gt;5)),0.5,0)+IF(S92&gt;7,0.25,0)+IF(Q92&lt;6,-0.5*(6-Q92),0)</f>
        <v>0.5</v>
      </c>
      <c r="AR92" s="314" t="str">
        <f>IF(AQ92&gt;9,"SuperStar",IF(AQ92&gt;8,"Star",IF(AQ92&gt;6.5,"GoodReg",IF(AQ92&gt;5,"Reg",IF(AQ92&gt;4,"Bench","Minors")))))</f>
        <v>Minors</v>
      </c>
      <c r="AS92" s="313">
        <f>AVERAGE(V92,X92,Y92)+IF(OR(V92&gt;7,AND(V92&gt;5,Y92&gt;5)),0.5,0)+IF(X92&gt;7,0.25,0)+IF(V92&lt;6,-0.5*(6-V92),0)</f>
        <v>0.83333333333333348</v>
      </c>
      <c r="AT92" s="313" t="str">
        <f>IF(AS92&gt;9,"SuperStar",IF(AS92&gt;8,"Star",IF(AS92&gt;6.5,"GoodReg",IF(AS92&gt;5,"Reg",IF(AS92&gt;4,"Bench","Minors")))))</f>
        <v>Minors</v>
      </c>
      <c r="AU92" s="314">
        <f>MIN(AQ92+(MAX(0,25-J92))^1.5,AS92)</f>
        <v>0.83333333333333348</v>
      </c>
      <c r="AV92" s="314" t="str">
        <f>IF(AU92&gt;9,"SuperStar",IF(AU92&gt;8,"Star",IF(AU92&gt;6.5,"GoodReg",IF(AU92&gt;5,"Reg",IF(AU92&gt;4,"Bench","Minors")))))</f>
        <v>Minors</v>
      </c>
      <c r="AW92" s="315">
        <f>IF(AND(OR(Q92+T92&gt;12,AND(Q92&gt;6,T92&gt;6)),AL92&gt;6,OR(AM92&gt;=AL92,AM92&gt;6)),1,0)</f>
        <v>0</v>
      </c>
      <c r="AX92" s="316">
        <f>IF(OR(AND(Q92&gt;6,U92&gt;6),Q92+T92&gt;12),1,0)</f>
        <v>0</v>
      </c>
      <c r="AY92" s="316">
        <f>IF(AND(Q92&gt;6,S92&gt;6,T92&gt;6),1,0)</f>
        <v>0</v>
      </c>
      <c r="AZ92" s="316">
        <f>IF(AND(S92&gt;7,OR(Q92&gt;6,T92&gt;6)),1,0)</f>
        <v>0</v>
      </c>
      <c r="BA92" s="316">
        <f>IF(AND(S92&gt;6,OR(Q92&gt;6,T92&gt;6)),1,0)</f>
        <v>0</v>
      </c>
      <c r="BB92" s="316">
        <f>IF(AND(OR(Q92&gt;6,S92&gt;6),OR(Q92&gt;6,T92&gt;6)),1,0)</f>
        <v>0</v>
      </c>
      <c r="BC92" s="316">
        <f>IF(AND(Q92&gt;4,OR(Q92&gt;6,S92&gt;6,T92&gt;6)),1,0)</f>
        <v>0</v>
      </c>
      <c r="BD92" s="316">
        <f>IF(AND(Q92&gt;4,OR(Q92&gt;6,R92&gt;6,S92&gt;6,T92&gt;6)),1,0)</f>
        <v>0</v>
      </c>
      <c r="BE92" s="311">
        <f>IF(AND(Q92&gt;4,MAX(Q92:U92)&gt;6),1,0)</f>
        <v>0</v>
      </c>
      <c r="BF92" s="315">
        <f>IF(AND(OR(V92+Y92&gt;12,AND(V92&gt;6,Y92&gt;6)),AL92&gt;6,OR(AM92&gt;=AL92,AM92&gt;6)),1,0)</f>
        <v>0</v>
      </c>
      <c r="BG92" s="316">
        <f>IF(OR(AND(V92&gt;6,Z92&gt;6),V92+Y92&gt;12),1,0)</f>
        <v>0</v>
      </c>
      <c r="BH92" s="316">
        <f>IF(AND(V92&gt;6,X92&gt;6,Y92&gt;6),1,0)</f>
        <v>0</v>
      </c>
      <c r="BI92" s="316">
        <f>IF(AND(X92&gt;7,OR(V92&gt;6,Y92&gt;6)),1,0)</f>
        <v>0</v>
      </c>
      <c r="BJ92" s="316">
        <f>IF(AND(X92&gt;6,OR(V92&gt;6,Y92&gt;6)),1,0)</f>
        <v>0</v>
      </c>
      <c r="BK92" s="316">
        <f>IF(AND(OR(V92&gt;6,X92&gt;6),OR(V92&gt;6,Y92&gt;6)),1,0)</f>
        <v>0</v>
      </c>
      <c r="BL92" s="316">
        <f>IF(AND(V92&gt;4,OR(V92&gt;6,X92&gt;6,Y92&gt;6)),1,0)</f>
        <v>0</v>
      </c>
      <c r="BM92" s="316">
        <f>IF(AND(V92&gt;4,OR(V92&gt;6,W92&gt;6,X92&gt;6,Y92&gt;6)),1,0)</f>
        <v>0</v>
      </c>
      <c r="BN92" s="311">
        <f>IF(AND(V92&gt;4,MAX(V92:Z92)&gt;6),1,0)</f>
        <v>0</v>
      </c>
      <c r="BO92" s="311">
        <f>IF(AVERAGE(AL92:AM92)&gt;9,1,0)+IF(AVERAGE(AL92:AM92)&gt;7,1,0)+IF(AL92&gt;7,1,0)+IF(AM92&gt;7,1,0)+IF(AN92&gt;8,1,0)+IF(AN92&gt;6,1,0)</f>
        <v>5</v>
      </c>
      <c r="BP92" s="317">
        <f>IF(OR(MAX(AD92,AE92,AI92,AK92)&gt;6,MAX(AF92,AG92,AH92,AJ92)&gt;7),2,IF(MAX(AD92:AK92)&gt;4,1,0))</f>
        <v>0</v>
      </c>
      <c r="BQ92" s="310" t="str">
        <f>IF(AP92=1,"Yes","")</f>
        <v/>
      </c>
      <c r="BR92" s="309" t="str">
        <f>IF($A92="ML","There",IF(AND($V92&gt;=6,AVERAGE($X92:$Y92)&gt;=6),"Likely",IF(OR($V92&gt;6,AND($V92=6,AVERAGE($X92:$Y92)&gt;=3),AND($V92&gt;=5,AVERAGE($X92:$Y92)&gt;=5),AVERAGE($V92,$X92:$Y92)&gt;5),"Possible","Unlikely")))</f>
        <v>Unlikely</v>
      </c>
      <c r="BS92" s="310" t="str">
        <f>IF(OR(AND(Q92&gt;=6,S92+T92&gt;=12),Q92&gt;7),"Start",IF(AND(Q92&gt;=5,S92+T92&gt;=8),"Bench","aack!"))</f>
        <v>aack!</v>
      </c>
      <c r="BT92" s="310" t="str">
        <f>IF(OR(AND(V92&gt;=6,X92+Y92&gt;=12),V92&gt;7),"Start",IF(AND(V92&gt;=5,X92+Y92&gt;=8),"Bench","aack!"))</f>
        <v>aack!</v>
      </c>
      <c r="BU92" s="310" t="str">
        <f>IF(Q92&gt;5,"ML",IF(Q92=5,"AAA",IF(Q92=4,"AA",IF(Q92=3,"A","SS-A"))))</f>
        <v>A</v>
      </c>
      <c r="BV92" s="310">
        <f>Q92-V92</f>
        <v>0</v>
      </c>
      <c r="BW92" s="310">
        <f>R92-W92</f>
        <v>-1</v>
      </c>
      <c r="BX92" s="310">
        <f>S92-X92</f>
        <v>0</v>
      </c>
      <c r="BY92" s="310">
        <f>T92-Y92</f>
        <v>-1</v>
      </c>
      <c r="BZ92" s="310">
        <f>U92-Z92</f>
        <v>-1</v>
      </c>
      <c r="CA92" s="310">
        <f>SUM(BV92:BZ92)</f>
        <v>-3</v>
      </c>
      <c r="CB92" s="310">
        <f>V92+X92+Y92</f>
        <v>7</v>
      </c>
      <c r="CC92" s="310">
        <f>V92+X92</f>
        <v>4</v>
      </c>
      <c r="CD92" s="310">
        <f>V92+Y92</f>
        <v>6</v>
      </c>
      <c r="CE92" s="310" t="str">
        <f>IF(J92&gt;24,"Now - Age",IF(Q92&gt;6,"Now",IF(V92&lt;6,"With Dev",MIN(V92-Q92,7-Q92))))</f>
        <v>With Dev</v>
      </c>
      <c r="CF92" s="325" t="str">
        <f t="shared" si="12"/>
        <v/>
      </c>
      <c r="CG92" s="325" t="str">
        <f t="shared" si="14"/>
        <v/>
      </c>
      <c r="CH92" s="325" t="str">
        <f t="shared" si="15"/>
        <v/>
      </c>
      <c r="CI92" s="325" t="str">
        <f t="shared" si="16"/>
        <v/>
      </c>
      <c r="CJ92" s="325" t="str">
        <f t="shared" si="17"/>
        <v/>
      </c>
      <c r="CK92" s="325" t="str">
        <f t="shared" si="18"/>
        <v/>
      </c>
      <c r="CL92" s="325" t="str">
        <f t="shared" si="19"/>
        <v/>
      </c>
      <c r="CM92" s="325" t="str">
        <f t="shared" si="20"/>
        <v/>
      </c>
      <c r="CN92" s="325" t="str">
        <f t="shared" si="21"/>
        <v>X</v>
      </c>
    </row>
    <row r="93" spans="1:92">
      <c r="A93" s="309"/>
      <c r="B93" s="309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1"/>
      <c r="O93" s="310"/>
      <c r="P93" s="311"/>
      <c r="Q93" s="310"/>
      <c r="R93" s="310"/>
      <c r="S93" s="310"/>
      <c r="T93" s="310"/>
      <c r="U93" s="311"/>
      <c r="V93" s="310"/>
      <c r="W93" s="310"/>
      <c r="X93" s="310"/>
      <c r="Y93" s="310"/>
      <c r="Z93" s="311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1"/>
      <c r="AL93" s="310"/>
      <c r="AM93" s="310"/>
      <c r="AN93" s="311"/>
      <c r="AO93" s="310"/>
      <c r="AP93" s="311"/>
      <c r="AQ93" s="313"/>
      <c r="AR93" s="314"/>
      <c r="AS93" s="313"/>
      <c r="AT93" s="313"/>
      <c r="AU93" s="314"/>
      <c r="AV93" s="314"/>
      <c r="AW93" s="315"/>
      <c r="AX93" s="316"/>
      <c r="AY93" s="316"/>
      <c r="AZ93" s="316"/>
      <c r="BA93" s="316"/>
      <c r="BB93" s="316"/>
      <c r="BC93" s="316"/>
      <c r="BD93" s="316"/>
      <c r="BE93" s="311"/>
      <c r="BF93" s="315"/>
      <c r="BG93" s="316"/>
      <c r="BH93" s="316"/>
      <c r="BI93" s="316"/>
      <c r="BJ93" s="316"/>
      <c r="BK93" s="316"/>
      <c r="BL93" s="316"/>
      <c r="BM93" s="316"/>
      <c r="BN93" s="311"/>
      <c r="BO93" s="311"/>
      <c r="BP93" s="317"/>
      <c r="BQ93" s="310"/>
      <c r="BR93" s="309"/>
      <c r="BS93" s="310"/>
      <c r="BT93" s="310"/>
      <c r="BU93" s="310"/>
      <c r="BV93" s="310"/>
      <c r="BW93" s="310"/>
      <c r="BX93" s="310"/>
      <c r="BY93" s="310"/>
      <c r="BZ93" s="310"/>
      <c r="CA93" s="310"/>
      <c r="CB93" s="310"/>
      <c r="CC93" s="310"/>
      <c r="CD93" s="310"/>
      <c r="CE93" s="310"/>
    </row>
    <row r="94" spans="1:92">
      <c r="A94" s="309"/>
      <c r="B94" s="309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1"/>
      <c r="O94" s="310"/>
      <c r="P94" s="311"/>
      <c r="Q94" s="310"/>
      <c r="R94" s="310"/>
      <c r="S94" s="310"/>
      <c r="T94" s="310"/>
      <c r="U94" s="311"/>
      <c r="V94" s="310"/>
      <c r="W94" s="310"/>
      <c r="X94" s="310"/>
      <c r="Y94" s="310"/>
      <c r="Z94" s="311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1"/>
      <c r="AL94" s="310"/>
      <c r="AM94" s="310"/>
      <c r="AN94" s="311"/>
      <c r="AO94" s="310"/>
      <c r="AP94" s="311"/>
      <c r="AQ94" s="310"/>
      <c r="AR94" s="316"/>
      <c r="AS94" s="310"/>
      <c r="AT94" s="310"/>
      <c r="AU94" s="310"/>
      <c r="AV94" s="310"/>
      <c r="AW94" s="315"/>
      <c r="AX94" s="316"/>
      <c r="AY94" s="316"/>
      <c r="AZ94" s="316"/>
      <c r="BA94" s="316"/>
      <c r="BB94" s="316"/>
      <c r="BC94" s="316"/>
      <c r="BD94" s="316"/>
      <c r="BE94" s="311"/>
      <c r="BF94" s="315"/>
      <c r="BG94" s="316"/>
      <c r="BH94" s="316"/>
      <c r="BI94" s="316"/>
      <c r="BJ94" s="316"/>
      <c r="BK94" s="316"/>
      <c r="BL94" s="316"/>
      <c r="BM94" s="316"/>
      <c r="BN94" s="311"/>
      <c r="BO94" s="310"/>
      <c r="BP94" s="310"/>
      <c r="BQ94" s="310"/>
      <c r="BR94" s="309"/>
      <c r="BS94" s="310"/>
      <c r="BT94" s="310"/>
      <c r="BU94" s="310"/>
      <c r="BV94" s="310"/>
      <c r="BW94" s="310"/>
      <c r="BX94" s="310"/>
      <c r="BY94" s="310"/>
      <c r="BZ94" s="310"/>
      <c r="CA94" s="310"/>
      <c r="CB94" s="310"/>
      <c r="CC94" s="310"/>
      <c r="CD94" s="310"/>
      <c r="CE94" s="310"/>
    </row>
    <row r="95" spans="1:92">
      <c r="A95" s="309"/>
      <c r="B95" s="309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1"/>
      <c r="O95" s="310"/>
      <c r="P95" s="311"/>
      <c r="Q95" s="310"/>
      <c r="R95" s="310"/>
      <c r="S95" s="310"/>
      <c r="T95" s="310"/>
      <c r="U95" s="311"/>
      <c r="V95" s="310"/>
      <c r="W95" s="310"/>
      <c r="X95" s="310"/>
      <c r="Y95" s="310"/>
      <c r="Z95" s="311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1"/>
      <c r="AL95" s="310"/>
      <c r="AM95" s="310"/>
      <c r="AN95" s="311"/>
      <c r="AO95" s="310"/>
      <c r="AP95" s="311"/>
      <c r="AQ95" s="310"/>
      <c r="AR95" s="316"/>
      <c r="AS95" s="310"/>
      <c r="AT95" s="310"/>
      <c r="AU95" s="310"/>
      <c r="AV95" s="310"/>
      <c r="AW95" s="315"/>
      <c r="AX95" s="316"/>
      <c r="AY95" s="316"/>
      <c r="AZ95" s="316"/>
      <c r="BA95" s="316"/>
      <c r="BB95" s="316"/>
      <c r="BC95" s="316"/>
      <c r="BD95" s="316"/>
      <c r="BE95" s="311"/>
      <c r="BF95" s="315"/>
      <c r="BG95" s="316"/>
      <c r="BH95" s="316"/>
      <c r="BI95" s="316"/>
      <c r="BJ95" s="316"/>
      <c r="BK95" s="316"/>
      <c r="BL95" s="316"/>
      <c r="BM95" s="316"/>
      <c r="BN95" s="311"/>
      <c r="BO95" s="310"/>
      <c r="BP95" s="310"/>
      <c r="BQ95" s="310"/>
      <c r="BR95" s="309"/>
      <c r="BS95" s="310"/>
      <c r="BT95" s="310"/>
      <c r="BU95" s="310"/>
      <c r="BV95" s="310"/>
      <c r="BW95" s="310"/>
      <c r="BX95" s="310"/>
      <c r="BY95" s="310"/>
      <c r="BZ95" s="310"/>
      <c r="CA95" s="310"/>
      <c r="CB95" s="310"/>
      <c r="CC95" s="310"/>
      <c r="CD95" s="310"/>
      <c r="CE95" s="310"/>
    </row>
    <row r="96" spans="1:92">
      <c r="A96" s="309"/>
      <c r="B96" s="309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1"/>
      <c r="O96" s="310"/>
      <c r="P96" s="311"/>
      <c r="Q96" s="310"/>
      <c r="R96" s="310"/>
      <c r="S96" s="310"/>
      <c r="T96" s="310"/>
      <c r="U96" s="311"/>
      <c r="V96" s="310"/>
      <c r="W96" s="310"/>
      <c r="X96" s="310"/>
      <c r="Y96" s="310"/>
      <c r="Z96" s="311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1"/>
      <c r="AL96" s="310"/>
      <c r="AM96" s="310"/>
      <c r="AN96" s="311"/>
      <c r="AO96" s="310"/>
      <c r="AP96" s="311"/>
      <c r="AQ96" s="310"/>
      <c r="AR96" s="316"/>
      <c r="AS96" s="310"/>
      <c r="AT96" s="310"/>
      <c r="AU96" s="310"/>
      <c r="AV96" s="310"/>
      <c r="AW96" s="315"/>
      <c r="AX96" s="316"/>
      <c r="AY96" s="316"/>
      <c r="AZ96" s="316"/>
      <c r="BA96" s="316"/>
      <c r="BB96" s="316"/>
      <c r="BC96" s="316"/>
      <c r="BD96" s="316"/>
      <c r="BE96" s="311"/>
      <c r="BF96" s="315"/>
      <c r="BG96" s="316"/>
      <c r="BH96" s="316"/>
      <c r="BI96" s="316"/>
      <c r="BJ96" s="316"/>
      <c r="BK96" s="316"/>
      <c r="BL96" s="316"/>
      <c r="BM96" s="316"/>
      <c r="BN96" s="311"/>
      <c r="BO96" s="310"/>
      <c r="BP96" s="310"/>
      <c r="BQ96" s="310"/>
      <c r="BR96" s="309"/>
      <c r="BS96" s="310"/>
      <c r="BT96" s="310"/>
      <c r="BU96" s="310"/>
      <c r="BV96" s="310"/>
      <c r="BW96" s="310"/>
      <c r="BX96" s="310"/>
      <c r="BY96" s="310"/>
      <c r="BZ96" s="310"/>
      <c r="CA96" s="310"/>
      <c r="CB96" s="310"/>
      <c r="CC96" s="310"/>
      <c r="CD96" s="310"/>
      <c r="CE96" s="310"/>
    </row>
    <row r="97" spans="1:83">
      <c r="A97" s="309"/>
      <c r="B97" s="309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1"/>
      <c r="O97" s="310"/>
      <c r="P97" s="311"/>
      <c r="Q97" s="310"/>
      <c r="R97" s="310"/>
      <c r="S97" s="310"/>
      <c r="T97" s="310"/>
      <c r="U97" s="311"/>
      <c r="V97" s="310"/>
      <c r="W97" s="310"/>
      <c r="X97" s="310"/>
      <c r="Y97" s="310"/>
      <c r="Z97" s="311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1"/>
      <c r="AL97" s="310"/>
      <c r="AM97" s="310"/>
      <c r="AN97" s="311"/>
      <c r="AO97" s="310"/>
      <c r="AP97" s="311"/>
      <c r="AQ97" s="310"/>
      <c r="AR97" s="316"/>
      <c r="AS97" s="310"/>
      <c r="AT97" s="310"/>
      <c r="AU97" s="310"/>
      <c r="AV97" s="310"/>
      <c r="AW97" s="315"/>
      <c r="AX97" s="316"/>
      <c r="AY97" s="316"/>
      <c r="AZ97" s="316"/>
      <c r="BA97" s="316"/>
      <c r="BB97" s="316"/>
      <c r="BC97" s="316"/>
      <c r="BD97" s="316"/>
      <c r="BE97" s="311"/>
      <c r="BF97" s="315"/>
      <c r="BG97" s="316"/>
      <c r="BH97" s="316"/>
      <c r="BI97" s="316"/>
      <c r="BJ97" s="316"/>
      <c r="BK97" s="316"/>
      <c r="BL97" s="316"/>
      <c r="BM97" s="316"/>
      <c r="BN97" s="311"/>
      <c r="BO97" s="310"/>
      <c r="BP97" s="310"/>
      <c r="BQ97" s="310"/>
      <c r="BR97" s="309"/>
      <c r="BS97" s="310"/>
      <c r="BT97" s="310"/>
      <c r="BU97" s="310"/>
      <c r="BV97" s="310"/>
      <c r="BW97" s="310"/>
      <c r="BX97" s="310"/>
      <c r="BY97" s="310"/>
      <c r="BZ97" s="310"/>
      <c r="CA97" s="310"/>
      <c r="CB97" s="310"/>
      <c r="CC97" s="310"/>
      <c r="CD97" s="310"/>
      <c r="CE97" s="310"/>
    </row>
    <row r="98" spans="1:83">
      <c r="A98" s="309"/>
      <c r="B98" s="309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1"/>
      <c r="O98" s="310"/>
      <c r="P98" s="311"/>
      <c r="Q98" s="310"/>
      <c r="R98" s="310"/>
      <c r="S98" s="310"/>
      <c r="T98" s="310"/>
      <c r="U98" s="311"/>
      <c r="V98" s="310"/>
      <c r="W98" s="310"/>
      <c r="X98" s="310"/>
      <c r="Y98" s="310"/>
      <c r="Z98" s="311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1"/>
      <c r="AL98" s="310"/>
      <c r="AM98" s="310"/>
      <c r="AN98" s="311"/>
      <c r="AO98" s="310"/>
      <c r="AP98" s="311"/>
      <c r="AQ98" s="310"/>
      <c r="AR98" s="316"/>
      <c r="AS98" s="310"/>
      <c r="AT98" s="310"/>
      <c r="AU98" s="310"/>
      <c r="AV98" s="310"/>
      <c r="AW98" s="315"/>
      <c r="AX98" s="316"/>
      <c r="AY98" s="316"/>
      <c r="AZ98" s="316"/>
      <c r="BA98" s="316"/>
      <c r="BB98" s="316"/>
      <c r="BC98" s="316"/>
      <c r="BD98" s="316"/>
      <c r="BE98" s="311"/>
      <c r="BF98" s="315"/>
      <c r="BG98" s="316"/>
      <c r="BH98" s="316"/>
      <c r="BI98" s="316"/>
      <c r="BJ98" s="316"/>
      <c r="BK98" s="316"/>
      <c r="BL98" s="316"/>
      <c r="BM98" s="316"/>
      <c r="BN98" s="311"/>
      <c r="BO98" s="310"/>
      <c r="BP98" s="310"/>
      <c r="BQ98" s="310"/>
      <c r="BR98" s="309"/>
      <c r="BS98" s="310"/>
      <c r="BT98" s="310"/>
      <c r="BU98" s="310"/>
      <c r="BV98" s="310"/>
      <c r="BW98" s="310"/>
      <c r="BX98" s="310"/>
      <c r="BY98" s="310"/>
      <c r="BZ98" s="310"/>
      <c r="CA98" s="310"/>
      <c r="CB98" s="310"/>
      <c r="CC98" s="310"/>
      <c r="CD98" s="310"/>
      <c r="CE98" s="310"/>
    </row>
    <row r="99" spans="1:83">
      <c r="A99" s="309"/>
      <c r="B99" s="309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1"/>
      <c r="O99" s="310"/>
      <c r="P99" s="311"/>
      <c r="Q99" s="310"/>
      <c r="R99" s="310"/>
      <c r="S99" s="310"/>
      <c r="T99" s="310"/>
      <c r="U99" s="311"/>
      <c r="V99" s="310"/>
      <c r="W99" s="310"/>
      <c r="X99" s="310"/>
      <c r="Y99" s="310"/>
      <c r="Z99" s="311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1"/>
      <c r="AL99" s="310"/>
      <c r="AM99" s="310"/>
      <c r="AN99" s="311"/>
      <c r="AO99" s="310"/>
      <c r="AP99" s="311"/>
      <c r="AQ99" s="310"/>
      <c r="AR99" s="316"/>
      <c r="AS99" s="310"/>
      <c r="AT99" s="310"/>
      <c r="AU99" s="310"/>
      <c r="AV99" s="310"/>
      <c r="AW99" s="315"/>
      <c r="AX99" s="316"/>
      <c r="AY99" s="316"/>
      <c r="AZ99" s="316"/>
      <c r="BA99" s="316"/>
      <c r="BB99" s="316"/>
      <c r="BC99" s="316"/>
      <c r="BD99" s="316"/>
      <c r="BE99" s="311"/>
      <c r="BF99" s="315"/>
      <c r="BG99" s="316"/>
      <c r="BH99" s="316"/>
      <c r="BI99" s="316"/>
      <c r="BJ99" s="316"/>
      <c r="BK99" s="316"/>
      <c r="BL99" s="316"/>
      <c r="BM99" s="316"/>
      <c r="BN99" s="311"/>
      <c r="BO99" s="310"/>
      <c r="BP99" s="310"/>
      <c r="BQ99" s="310"/>
      <c r="BR99" s="309"/>
      <c r="BS99" s="310"/>
      <c r="BT99" s="310"/>
      <c r="BU99" s="310"/>
      <c r="BV99" s="310"/>
      <c r="BW99" s="310"/>
      <c r="BX99" s="310"/>
      <c r="BY99" s="310"/>
      <c r="BZ99" s="310"/>
      <c r="CA99" s="310"/>
      <c r="CB99" s="310"/>
      <c r="CC99" s="310"/>
      <c r="CD99" s="310"/>
      <c r="CE99" s="310"/>
    </row>
    <row r="100" spans="1:83">
      <c r="A100" s="309"/>
      <c r="B100" s="309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1"/>
      <c r="O100" s="310"/>
      <c r="P100" s="311"/>
      <c r="Q100" s="310"/>
      <c r="R100" s="310"/>
      <c r="S100" s="310"/>
      <c r="T100" s="310"/>
      <c r="U100" s="311"/>
      <c r="V100" s="310"/>
      <c r="W100" s="310"/>
      <c r="X100" s="310"/>
      <c r="Y100" s="310"/>
      <c r="Z100" s="311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1"/>
      <c r="AL100" s="310"/>
      <c r="AM100" s="310"/>
      <c r="AN100" s="311"/>
      <c r="AO100" s="310"/>
      <c r="AP100" s="311"/>
      <c r="AQ100" s="310"/>
      <c r="AR100" s="316"/>
      <c r="AS100" s="310"/>
      <c r="AT100" s="310"/>
      <c r="AU100" s="310"/>
      <c r="AV100" s="310"/>
      <c r="AW100" s="315"/>
      <c r="AX100" s="316"/>
      <c r="AY100" s="316"/>
      <c r="AZ100" s="316"/>
      <c r="BA100" s="316"/>
      <c r="BB100" s="316"/>
      <c r="BC100" s="316"/>
      <c r="BD100" s="316"/>
      <c r="BE100" s="311"/>
      <c r="BF100" s="315"/>
      <c r="BG100" s="316"/>
      <c r="BH100" s="316"/>
      <c r="BI100" s="316"/>
      <c r="BJ100" s="316"/>
      <c r="BK100" s="316"/>
      <c r="BL100" s="316"/>
      <c r="BM100" s="316"/>
      <c r="BN100" s="311"/>
      <c r="BO100" s="310"/>
      <c r="BP100" s="310"/>
      <c r="BQ100" s="310"/>
      <c r="BR100" s="309"/>
      <c r="BS100" s="310"/>
      <c r="BT100" s="310"/>
      <c r="BU100" s="310"/>
      <c r="BV100" s="310"/>
      <c r="BW100" s="310"/>
      <c r="BX100" s="310"/>
      <c r="BY100" s="310"/>
      <c r="BZ100" s="310"/>
      <c r="CA100" s="310"/>
      <c r="CB100" s="310"/>
      <c r="CC100" s="310"/>
      <c r="CD100" s="310"/>
      <c r="CE100" s="310"/>
    </row>
    <row r="101" spans="1:83">
      <c r="A101" s="309"/>
      <c r="B101" s="309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1"/>
      <c r="O101" s="310"/>
      <c r="P101" s="311"/>
      <c r="Q101" s="310"/>
      <c r="R101" s="310"/>
      <c r="S101" s="310"/>
      <c r="T101" s="310"/>
      <c r="U101" s="311"/>
      <c r="V101" s="310"/>
      <c r="W101" s="310"/>
      <c r="X101" s="310"/>
      <c r="Y101" s="310"/>
      <c r="Z101" s="311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1"/>
      <c r="AL101" s="310"/>
      <c r="AM101" s="310"/>
      <c r="AN101" s="311"/>
      <c r="AO101" s="310"/>
      <c r="AP101" s="311"/>
      <c r="AQ101" s="310"/>
      <c r="AR101" s="316"/>
      <c r="AS101" s="310"/>
      <c r="AT101" s="310"/>
      <c r="AU101" s="310"/>
      <c r="AV101" s="310"/>
      <c r="AW101" s="315"/>
      <c r="AX101" s="316"/>
      <c r="AY101" s="316"/>
      <c r="AZ101" s="316"/>
      <c r="BA101" s="316"/>
      <c r="BB101" s="316"/>
      <c r="BC101" s="316"/>
      <c r="BD101" s="316"/>
      <c r="BE101" s="311"/>
      <c r="BF101" s="315"/>
      <c r="BG101" s="316"/>
      <c r="BH101" s="316"/>
      <c r="BI101" s="316"/>
      <c r="BJ101" s="316"/>
      <c r="BK101" s="316"/>
      <c r="BL101" s="316"/>
      <c r="BM101" s="316"/>
      <c r="BN101" s="311"/>
      <c r="BO101" s="310"/>
      <c r="BP101" s="310"/>
      <c r="BQ101" s="310"/>
      <c r="BR101" s="309"/>
      <c r="BS101" s="310"/>
      <c r="BT101" s="310"/>
      <c r="BU101" s="310"/>
      <c r="BV101" s="310"/>
      <c r="BW101" s="310"/>
      <c r="BX101" s="310"/>
      <c r="BY101" s="310"/>
      <c r="BZ101" s="310"/>
      <c r="CA101" s="310"/>
      <c r="CB101" s="310"/>
      <c r="CC101" s="310"/>
      <c r="CD101" s="310"/>
      <c r="CE101" s="310"/>
    </row>
    <row r="102" spans="1:83">
      <c r="A102" s="309"/>
      <c r="B102" s="309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1"/>
      <c r="O102" s="310"/>
      <c r="P102" s="311"/>
      <c r="Q102" s="310"/>
      <c r="R102" s="310"/>
      <c r="S102" s="310"/>
      <c r="T102" s="310"/>
      <c r="U102" s="311"/>
      <c r="V102" s="310"/>
      <c r="W102" s="310"/>
      <c r="X102" s="310"/>
      <c r="Y102" s="310"/>
      <c r="Z102" s="311"/>
      <c r="AA102" s="310"/>
      <c r="AB102" s="310"/>
      <c r="AC102" s="310"/>
      <c r="AD102" s="310"/>
      <c r="AE102" s="310"/>
      <c r="AF102" s="310"/>
      <c r="AG102" s="310"/>
      <c r="AH102" s="310"/>
      <c r="AI102" s="310"/>
      <c r="AJ102" s="310"/>
      <c r="AK102" s="311"/>
      <c r="AL102" s="310"/>
      <c r="AM102" s="310"/>
      <c r="AN102" s="311"/>
      <c r="AO102" s="310"/>
      <c r="AP102" s="311"/>
      <c r="AQ102" s="310"/>
      <c r="AR102" s="316"/>
      <c r="AS102" s="310"/>
      <c r="AT102" s="310"/>
      <c r="AU102" s="310"/>
      <c r="AV102" s="310"/>
      <c r="AW102" s="315"/>
      <c r="AX102" s="316"/>
      <c r="AY102" s="316"/>
      <c r="AZ102" s="316"/>
      <c r="BA102" s="316"/>
      <c r="BB102" s="316"/>
      <c r="BC102" s="316"/>
      <c r="BD102" s="316"/>
      <c r="BE102" s="311"/>
      <c r="BF102" s="315"/>
      <c r="BG102" s="316"/>
      <c r="BH102" s="316"/>
      <c r="BI102" s="316"/>
      <c r="BJ102" s="316"/>
      <c r="BK102" s="316"/>
      <c r="BL102" s="316"/>
      <c r="BM102" s="316"/>
      <c r="BN102" s="311"/>
      <c r="BO102" s="310"/>
      <c r="BP102" s="310"/>
      <c r="BQ102" s="310"/>
      <c r="BR102" s="309"/>
      <c r="BS102" s="310"/>
      <c r="BT102" s="310"/>
      <c r="BU102" s="310"/>
      <c r="BV102" s="310"/>
      <c r="BW102" s="310"/>
      <c r="BX102" s="310"/>
      <c r="BY102" s="310"/>
      <c r="BZ102" s="310"/>
      <c r="CA102" s="310"/>
      <c r="CB102" s="310"/>
      <c r="CC102" s="310"/>
      <c r="CD102" s="310"/>
      <c r="CE102" s="310"/>
    </row>
    <row r="103" spans="1:83">
      <c r="A103" s="309"/>
      <c r="B103" s="309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1"/>
      <c r="O103" s="310"/>
      <c r="P103" s="311"/>
      <c r="Q103" s="310"/>
      <c r="R103" s="310"/>
      <c r="S103" s="310"/>
      <c r="T103" s="310"/>
      <c r="U103" s="311"/>
      <c r="V103" s="310"/>
      <c r="W103" s="310"/>
      <c r="X103" s="310"/>
      <c r="Y103" s="310"/>
      <c r="Z103" s="311"/>
      <c r="AA103" s="310"/>
      <c r="AB103" s="310"/>
      <c r="AC103" s="310"/>
      <c r="AD103" s="310"/>
      <c r="AE103" s="310"/>
      <c r="AF103" s="310"/>
      <c r="AG103" s="310"/>
      <c r="AH103" s="310"/>
      <c r="AI103" s="310"/>
      <c r="AJ103" s="310"/>
      <c r="AK103" s="311"/>
      <c r="AL103" s="310"/>
      <c r="AM103" s="310"/>
      <c r="AN103" s="311"/>
      <c r="AO103" s="310"/>
      <c r="AP103" s="311"/>
      <c r="AQ103" s="310"/>
      <c r="AR103" s="316"/>
      <c r="AS103" s="310"/>
      <c r="AT103" s="310"/>
      <c r="AU103" s="310"/>
      <c r="AV103" s="310"/>
      <c r="AW103" s="315"/>
      <c r="AX103" s="316"/>
      <c r="AY103" s="316"/>
      <c r="AZ103" s="316"/>
      <c r="BA103" s="316"/>
      <c r="BB103" s="316"/>
      <c r="BC103" s="316"/>
      <c r="BD103" s="316"/>
      <c r="BE103" s="311"/>
      <c r="BF103" s="315"/>
      <c r="BG103" s="316"/>
      <c r="BH103" s="316"/>
      <c r="BI103" s="316"/>
      <c r="BJ103" s="316"/>
      <c r="BK103" s="316"/>
      <c r="BL103" s="316"/>
      <c r="BM103" s="316"/>
      <c r="BN103" s="311"/>
      <c r="BO103" s="310"/>
      <c r="BP103" s="310"/>
      <c r="BQ103" s="310"/>
      <c r="BR103" s="309"/>
      <c r="BS103" s="310"/>
      <c r="BT103" s="310"/>
      <c r="BU103" s="310"/>
      <c r="BV103" s="310"/>
      <c r="BW103" s="310"/>
      <c r="BX103" s="310"/>
      <c r="BY103" s="310"/>
      <c r="BZ103" s="310"/>
      <c r="CA103" s="310"/>
      <c r="CB103" s="310"/>
      <c r="CC103" s="310"/>
      <c r="CD103" s="310"/>
      <c r="CE103" s="310"/>
    </row>
    <row r="104" spans="1:83">
      <c r="A104" s="309"/>
      <c r="B104" s="309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1"/>
      <c r="O104" s="310"/>
      <c r="P104" s="311"/>
      <c r="Q104" s="310"/>
      <c r="R104" s="310"/>
      <c r="S104" s="310"/>
      <c r="T104" s="310"/>
      <c r="U104" s="311"/>
      <c r="V104" s="310"/>
      <c r="W104" s="310"/>
      <c r="X104" s="310"/>
      <c r="Y104" s="310"/>
      <c r="Z104" s="311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1"/>
      <c r="AL104" s="310"/>
      <c r="AM104" s="310"/>
      <c r="AN104" s="311"/>
      <c r="AO104" s="310"/>
      <c r="AP104" s="311"/>
      <c r="AQ104" s="310"/>
      <c r="AR104" s="316"/>
      <c r="AS104" s="310"/>
      <c r="AT104" s="310"/>
      <c r="AU104" s="310"/>
      <c r="AV104" s="310"/>
      <c r="AW104" s="315"/>
      <c r="AX104" s="316"/>
      <c r="AY104" s="316"/>
      <c r="AZ104" s="316"/>
      <c r="BA104" s="316"/>
      <c r="BB104" s="316"/>
      <c r="BC104" s="316"/>
      <c r="BD104" s="316"/>
      <c r="BE104" s="311"/>
      <c r="BF104" s="315"/>
      <c r="BG104" s="316"/>
      <c r="BH104" s="316"/>
      <c r="BI104" s="316"/>
      <c r="BJ104" s="316"/>
      <c r="BK104" s="316"/>
      <c r="BL104" s="316"/>
      <c r="BM104" s="316"/>
      <c r="BN104" s="311"/>
      <c r="BO104" s="310"/>
      <c r="BP104" s="310"/>
      <c r="BQ104" s="310"/>
      <c r="BR104" s="309"/>
      <c r="BS104" s="310"/>
      <c r="BT104" s="310"/>
      <c r="BU104" s="310"/>
      <c r="BV104" s="310"/>
      <c r="BW104" s="310"/>
      <c r="BX104" s="310"/>
      <c r="BY104" s="310"/>
      <c r="BZ104" s="310"/>
      <c r="CA104" s="310"/>
      <c r="CB104" s="310"/>
      <c r="CC104" s="310"/>
      <c r="CD104" s="310"/>
      <c r="CE104" s="310"/>
    </row>
    <row r="105" spans="1:83">
      <c r="A105" s="309"/>
      <c r="B105" s="309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1"/>
      <c r="O105" s="310"/>
      <c r="P105" s="311"/>
      <c r="Q105" s="310"/>
      <c r="R105" s="310"/>
      <c r="S105" s="310"/>
      <c r="T105" s="310"/>
      <c r="U105" s="311"/>
      <c r="V105" s="310"/>
      <c r="W105" s="310"/>
      <c r="X105" s="310"/>
      <c r="Y105" s="310"/>
      <c r="Z105" s="311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1"/>
      <c r="AL105" s="310"/>
      <c r="AM105" s="310"/>
      <c r="AN105" s="311"/>
      <c r="AO105" s="310"/>
      <c r="AP105" s="311"/>
      <c r="AQ105" s="310"/>
      <c r="AR105" s="316"/>
      <c r="AS105" s="310"/>
      <c r="AT105" s="310"/>
      <c r="AU105" s="310"/>
      <c r="AV105" s="310"/>
      <c r="AW105" s="315"/>
      <c r="AX105" s="316"/>
      <c r="AY105" s="316"/>
      <c r="AZ105" s="316"/>
      <c r="BA105" s="316"/>
      <c r="BB105" s="316"/>
      <c r="BC105" s="316"/>
      <c r="BD105" s="316"/>
      <c r="BE105" s="311"/>
      <c r="BF105" s="315"/>
      <c r="BG105" s="316"/>
      <c r="BH105" s="316"/>
      <c r="BI105" s="316"/>
      <c r="BJ105" s="316"/>
      <c r="BK105" s="316"/>
      <c r="BL105" s="316"/>
      <c r="BM105" s="316"/>
      <c r="BN105" s="311"/>
      <c r="BO105" s="310"/>
      <c r="BP105" s="310"/>
      <c r="BQ105" s="310"/>
      <c r="BR105" s="309"/>
      <c r="BS105" s="310"/>
      <c r="BT105" s="310"/>
      <c r="BU105" s="310"/>
      <c r="BV105" s="310"/>
      <c r="BW105" s="310"/>
      <c r="BX105" s="310"/>
      <c r="BY105" s="310"/>
      <c r="BZ105" s="310"/>
      <c r="CA105" s="310"/>
      <c r="CB105" s="310"/>
      <c r="CC105" s="310"/>
      <c r="CD105" s="310"/>
      <c r="CE105" s="310"/>
    </row>
    <row r="106" spans="1:83">
      <c r="A106" s="309"/>
      <c r="B106" s="309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1"/>
      <c r="O106" s="310"/>
      <c r="P106" s="311"/>
      <c r="Q106" s="310"/>
      <c r="R106" s="310"/>
      <c r="S106" s="310"/>
      <c r="T106" s="310"/>
      <c r="U106" s="311"/>
      <c r="V106" s="310"/>
      <c r="W106" s="310"/>
      <c r="X106" s="310"/>
      <c r="Y106" s="310"/>
      <c r="Z106" s="311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1"/>
      <c r="AL106" s="310"/>
      <c r="AM106" s="310"/>
      <c r="AN106" s="311"/>
      <c r="AO106" s="310"/>
      <c r="AP106" s="311"/>
      <c r="AQ106" s="310"/>
      <c r="AR106" s="316"/>
      <c r="AS106" s="310"/>
      <c r="AT106" s="310"/>
      <c r="AU106" s="310"/>
      <c r="AV106" s="310"/>
      <c r="AW106" s="315"/>
      <c r="AX106" s="316"/>
      <c r="AY106" s="316"/>
      <c r="AZ106" s="316"/>
      <c r="BA106" s="316"/>
      <c r="BB106" s="316"/>
      <c r="BC106" s="316"/>
      <c r="BD106" s="316"/>
      <c r="BE106" s="311"/>
      <c r="BF106" s="315"/>
      <c r="BG106" s="316"/>
      <c r="BH106" s="316"/>
      <c r="BI106" s="316"/>
      <c r="BJ106" s="316"/>
      <c r="BK106" s="316"/>
      <c r="BL106" s="316"/>
      <c r="BM106" s="316"/>
      <c r="BN106" s="311"/>
      <c r="BO106" s="310"/>
      <c r="BP106" s="310"/>
      <c r="BQ106" s="310"/>
      <c r="BR106" s="309"/>
      <c r="BS106" s="310"/>
      <c r="BT106" s="310"/>
      <c r="BU106" s="310"/>
      <c r="BV106" s="310"/>
      <c r="BW106" s="310"/>
      <c r="BX106" s="310"/>
      <c r="BY106" s="310"/>
      <c r="BZ106" s="310"/>
      <c r="CA106" s="310"/>
      <c r="CB106" s="310"/>
      <c r="CC106" s="310"/>
      <c r="CD106" s="310"/>
      <c r="CE106" s="310"/>
    </row>
    <row r="107" spans="1:83">
      <c r="A107" s="309"/>
      <c r="B107" s="309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1"/>
      <c r="O107" s="310"/>
      <c r="P107" s="311"/>
      <c r="Q107" s="310"/>
      <c r="R107" s="310"/>
      <c r="S107" s="310"/>
      <c r="T107" s="310"/>
      <c r="U107" s="311"/>
      <c r="V107" s="310"/>
      <c r="W107" s="310"/>
      <c r="X107" s="310"/>
      <c r="Y107" s="310"/>
      <c r="Z107" s="311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1"/>
      <c r="AL107" s="310"/>
      <c r="AM107" s="310"/>
      <c r="AN107" s="311"/>
      <c r="AO107" s="310"/>
      <c r="AP107" s="311"/>
      <c r="AQ107" s="310"/>
      <c r="AR107" s="316"/>
      <c r="AS107" s="310"/>
      <c r="AT107" s="310"/>
      <c r="AU107" s="310"/>
      <c r="AV107" s="310"/>
      <c r="AW107" s="315"/>
      <c r="AX107" s="316"/>
      <c r="AY107" s="316"/>
      <c r="AZ107" s="316"/>
      <c r="BA107" s="316"/>
      <c r="BB107" s="316"/>
      <c r="BC107" s="316"/>
      <c r="BD107" s="316"/>
      <c r="BE107" s="311"/>
      <c r="BF107" s="315"/>
      <c r="BG107" s="316"/>
      <c r="BH107" s="316"/>
      <c r="BI107" s="316"/>
      <c r="BJ107" s="316"/>
      <c r="BK107" s="316"/>
      <c r="BL107" s="316"/>
      <c r="BM107" s="316"/>
      <c r="BN107" s="311"/>
      <c r="BO107" s="310"/>
      <c r="BP107" s="310"/>
      <c r="BQ107" s="310"/>
      <c r="BR107" s="309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10"/>
      <c r="CE107" s="310"/>
    </row>
    <row r="108" spans="1:83">
      <c r="A108" s="309"/>
      <c r="B108" s="309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1"/>
      <c r="O108" s="310"/>
      <c r="P108" s="311"/>
      <c r="Q108" s="310"/>
      <c r="R108" s="310"/>
      <c r="S108" s="310"/>
      <c r="T108" s="310"/>
      <c r="U108" s="311"/>
      <c r="V108" s="310"/>
      <c r="W108" s="310"/>
      <c r="X108" s="310"/>
      <c r="Y108" s="310"/>
      <c r="Z108" s="311"/>
      <c r="AA108" s="310"/>
      <c r="AB108" s="310"/>
      <c r="AC108" s="310"/>
      <c r="AD108" s="310"/>
      <c r="AE108" s="310"/>
      <c r="AF108" s="310"/>
      <c r="AG108" s="310"/>
      <c r="AH108" s="310"/>
      <c r="AI108" s="310"/>
      <c r="AJ108" s="310"/>
      <c r="AK108" s="311"/>
      <c r="AL108" s="310"/>
      <c r="AM108" s="310"/>
      <c r="AN108" s="311"/>
      <c r="AO108" s="310"/>
      <c r="AP108" s="311"/>
      <c r="AQ108" s="310"/>
      <c r="AR108" s="316"/>
      <c r="AS108" s="310"/>
      <c r="AT108" s="310"/>
      <c r="AU108" s="310"/>
      <c r="AV108" s="310"/>
      <c r="AW108" s="315"/>
      <c r="AX108" s="316"/>
      <c r="AY108" s="316"/>
      <c r="AZ108" s="316"/>
      <c r="BA108" s="316"/>
      <c r="BB108" s="316"/>
      <c r="BC108" s="316"/>
      <c r="BD108" s="316"/>
      <c r="BE108" s="311"/>
      <c r="BF108" s="315"/>
      <c r="BG108" s="316"/>
      <c r="BH108" s="316"/>
      <c r="BI108" s="316"/>
      <c r="BJ108" s="316"/>
      <c r="BK108" s="316"/>
      <c r="BL108" s="316"/>
      <c r="BM108" s="316"/>
      <c r="BN108" s="311"/>
      <c r="BO108" s="310"/>
      <c r="BP108" s="310"/>
      <c r="BQ108" s="310"/>
      <c r="BR108" s="309"/>
      <c r="BS108" s="310"/>
      <c r="BT108" s="310"/>
      <c r="BU108" s="310"/>
      <c r="BV108" s="310"/>
      <c r="BW108" s="310"/>
      <c r="BX108" s="310"/>
      <c r="BY108" s="310"/>
      <c r="BZ108" s="310"/>
      <c r="CA108" s="310"/>
      <c r="CB108" s="310"/>
      <c r="CC108" s="310"/>
      <c r="CD108" s="310"/>
      <c r="CE108" s="310"/>
    </row>
    <row r="109" spans="1:83">
      <c r="A109" s="309"/>
      <c r="B109" s="309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1"/>
      <c r="O109" s="310"/>
      <c r="P109" s="311"/>
      <c r="Q109" s="310"/>
      <c r="R109" s="310"/>
      <c r="S109" s="310"/>
      <c r="T109" s="310"/>
      <c r="U109" s="311"/>
      <c r="V109" s="310"/>
      <c r="W109" s="310"/>
      <c r="X109" s="310"/>
      <c r="Y109" s="310"/>
      <c r="Z109" s="311"/>
      <c r="AA109" s="310"/>
      <c r="AB109" s="310"/>
      <c r="AC109" s="310"/>
      <c r="AD109" s="310"/>
      <c r="AE109" s="310"/>
      <c r="AF109" s="310"/>
      <c r="AG109" s="310"/>
      <c r="AH109" s="310"/>
      <c r="AI109" s="310"/>
      <c r="AJ109" s="310"/>
      <c r="AK109" s="311"/>
      <c r="AL109" s="310"/>
      <c r="AM109" s="310"/>
      <c r="AN109" s="311"/>
      <c r="AO109" s="310"/>
      <c r="AP109" s="311"/>
      <c r="AQ109" s="310"/>
      <c r="AR109" s="316"/>
      <c r="AS109" s="310"/>
      <c r="AT109" s="310"/>
      <c r="AU109" s="310"/>
      <c r="AV109" s="310"/>
      <c r="AW109" s="315"/>
      <c r="AX109" s="316"/>
      <c r="AY109" s="316"/>
      <c r="AZ109" s="316"/>
      <c r="BA109" s="316"/>
      <c r="BB109" s="316"/>
      <c r="BC109" s="316"/>
      <c r="BD109" s="316"/>
      <c r="BE109" s="311"/>
      <c r="BF109" s="315"/>
      <c r="BG109" s="316"/>
      <c r="BH109" s="316"/>
      <c r="BI109" s="316"/>
      <c r="BJ109" s="316"/>
      <c r="BK109" s="316"/>
      <c r="BL109" s="316"/>
      <c r="BM109" s="316"/>
      <c r="BN109" s="311"/>
      <c r="BO109" s="310"/>
      <c r="BP109" s="310"/>
      <c r="BQ109" s="310"/>
      <c r="BR109" s="309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</row>
    <row r="110" spans="1:83">
      <c r="A110" s="309"/>
      <c r="B110" s="309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1"/>
      <c r="O110" s="310"/>
      <c r="P110" s="311"/>
      <c r="Q110" s="310"/>
      <c r="R110" s="310"/>
      <c r="S110" s="310"/>
      <c r="T110" s="310"/>
      <c r="U110" s="311"/>
      <c r="V110" s="310"/>
      <c r="W110" s="310"/>
      <c r="X110" s="310"/>
      <c r="Y110" s="310"/>
      <c r="Z110" s="311"/>
      <c r="AA110" s="310"/>
      <c r="AB110" s="310"/>
      <c r="AC110" s="310"/>
      <c r="AD110" s="310"/>
      <c r="AE110" s="310"/>
      <c r="AF110" s="310"/>
      <c r="AG110" s="310"/>
      <c r="AH110" s="310"/>
      <c r="AI110" s="310"/>
      <c r="AJ110" s="310"/>
      <c r="AK110" s="311"/>
      <c r="AL110" s="310"/>
      <c r="AM110" s="310"/>
      <c r="AN110" s="311"/>
      <c r="AO110" s="310"/>
      <c r="AP110" s="311"/>
      <c r="AQ110" s="310"/>
      <c r="AR110" s="316"/>
      <c r="AS110" s="310"/>
      <c r="AT110" s="310"/>
      <c r="AU110" s="310"/>
      <c r="AV110" s="310"/>
      <c r="AW110" s="315"/>
      <c r="AX110" s="316"/>
      <c r="AY110" s="316"/>
      <c r="AZ110" s="316"/>
      <c r="BA110" s="316"/>
      <c r="BB110" s="316"/>
      <c r="BC110" s="316"/>
      <c r="BD110" s="316"/>
      <c r="BE110" s="311"/>
      <c r="BF110" s="315"/>
      <c r="BG110" s="316"/>
      <c r="BH110" s="316"/>
      <c r="BI110" s="316"/>
      <c r="BJ110" s="316"/>
      <c r="BK110" s="316"/>
      <c r="BL110" s="316"/>
      <c r="BM110" s="316"/>
      <c r="BN110" s="311"/>
      <c r="BO110" s="310"/>
      <c r="BP110" s="310"/>
      <c r="BQ110" s="310"/>
      <c r="BR110" s="309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</row>
    <row r="111" spans="1:83">
      <c r="A111" s="309"/>
      <c r="B111" s="309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1"/>
      <c r="O111" s="310"/>
      <c r="P111" s="311"/>
      <c r="Q111" s="310"/>
      <c r="R111" s="310"/>
      <c r="S111" s="310"/>
      <c r="T111" s="310"/>
      <c r="U111" s="311"/>
      <c r="V111" s="310"/>
      <c r="W111" s="310"/>
      <c r="X111" s="310"/>
      <c r="Y111" s="310"/>
      <c r="Z111" s="311"/>
      <c r="AA111" s="310"/>
      <c r="AB111" s="310"/>
      <c r="AC111" s="310"/>
      <c r="AD111" s="310"/>
      <c r="AE111" s="310"/>
      <c r="AF111" s="310"/>
      <c r="AG111" s="310"/>
      <c r="AH111" s="310"/>
      <c r="AI111" s="310"/>
      <c r="AJ111" s="310"/>
      <c r="AK111" s="311"/>
      <c r="AL111" s="310"/>
      <c r="AM111" s="310"/>
      <c r="AN111" s="311"/>
      <c r="AO111" s="310"/>
      <c r="AP111" s="311"/>
      <c r="AQ111" s="310"/>
      <c r="AR111" s="316"/>
      <c r="AS111" s="310"/>
      <c r="AT111" s="310"/>
      <c r="AU111" s="310"/>
      <c r="AV111" s="310"/>
      <c r="AW111" s="315"/>
      <c r="AX111" s="316"/>
      <c r="AY111" s="316"/>
      <c r="AZ111" s="316"/>
      <c r="BA111" s="316"/>
      <c r="BB111" s="316"/>
      <c r="BC111" s="316"/>
      <c r="BD111" s="316"/>
      <c r="BE111" s="311"/>
      <c r="BF111" s="315"/>
      <c r="BG111" s="316"/>
      <c r="BH111" s="316"/>
      <c r="BI111" s="316"/>
      <c r="BJ111" s="316"/>
      <c r="BK111" s="316"/>
      <c r="BL111" s="316"/>
      <c r="BM111" s="316"/>
      <c r="BN111" s="311"/>
      <c r="BO111" s="310"/>
      <c r="BP111" s="310"/>
      <c r="BQ111" s="310"/>
      <c r="BR111" s="309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</row>
    <row r="112" spans="1:83">
      <c r="A112" s="309"/>
      <c r="B112" s="309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1"/>
      <c r="O112" s="310"/>
      <c r="P112" s="311"/>
      <c r="Q112" s="310"/>
      <c r="R112" s="310"/>
      <c r="S112" s="310"/>
      <c r="T112" s="310"/>
      <c r="U112" s="311"/>
      <c r="V112" s="310"/>
      <c r="W112" s="310"/>
      <c r="X112" s="310"/>
      <c r="Y112" s="310"/>
      <c r="Z112" s="311"/>
      <c r="AA112" s="310"/>
      <c r="AB112" s="310"/>
      <c r="AC112" s="310"/>
      <c r="AD112" s="310"/>
      <c r="AE112" s="310"/>
      <c r="AF112" s="310"/>
      <c r="AG112" s="310"/>
      <c r="AH112" s="310"/>
      <c r="AI112" s="310"/>
      <c r="AJ112" s="310"/>
      <c r="AK112" s="311"/>
      <c r="AL112" s="310"/>
      <c r="AM112" s="310"/>
      <c r="AN112" s="311"/>
      <c r="AO112" s="310"/>
      <c r="AP112" s="311"/>
      <c r="AQ112" s="310"/>
      <c r="AR112" s="316"/>
      <c r="AS112" s="310"/>
      <c r="AT112" s="310"/>
      <c r="AU112" s="310"/>
      <c r="AV112" s="310"/>
      <c r="AW112" s="315"/>
      <c r="AX112" s="316"/>
      <c r="AY112" s="316"/>
      <c r="AZ112" s="316"/>
      <c r="BA112" s="316"/>
      <c r="BB112" s="316"/>
      <c r="BC112" s="316"/>
      <c r="BD112" s="316"/>
      <c r="BE112" s="311"/>
      <c r="BF112" s="315"/>
      <c r="BG112" s="316"/>
      <c r="BH112" s="316"/>
      <c r="BI112" s="316"/>
      <c r="BJ112" s="316"/>
      <c r="BK112" s="316"/>
      <c r="BL112" s="316"/>
      <c r="BM112" s="316"/>
      <c r="BN112" s="311"/>
      <c r="BO112" s="310"/>
      <c r="BP112" s="310"/>
      <c r="BQ112" s="310"/>
      <c r="BR112" s="309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</row>
    <row r="113" spans="1:83">
      <c r="A113" s="309"/>
      <c r="B113" s="309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1"/>
      <c r="O113" s="310"/>
      <c r="P113" s="311"/>
      <c r="Q113" s="310"/>
      <c r="R113" s="310"/>
      <c r="S113" s="310"/>
      <c r="T113" s="310"/>
      <c r="U113" s="311"/>
      <c r="V113" s="310"/>
      <c r="W113" s="310"/>
      <c r="X113" s="310"/>
      <c r="Y113" s="310"/>
      <c r="Z113" s="311"/>
      <c r="AA113" s="310"/>
      <c r="AB113" s="310"/>
      <c r="AC113" s="310"/>
      <c r="AD113" s="310"/>
      <c r="AE113" s="310"/>
      <c r="AF113" s="310"/>
      <c r="AG113" s="310"/>
      <c r="AH113" s="310"/>
      <c r="AI113" s="310"/>
      <c r="AJ113" s="310"/>
      <c r="AK113" s="311"/>
      <c r="AL113" s="310"/>
      <c r="AM113" s="310"/>
      <c r="AN113" s="311"/>
      <c r="AO113" s="310"/>
      <c r="AP113" s="311"/>
      <c r="AQ113" s="310"/>
      <c r="AR113" s="316"/>
      <c r="AS113" s="310"/>
      <c r="AT113" s="310"/>
      <c r="AU113" s="310"/>
      <c r="AV113" s="310"/>
      <c r="AW113" s="315"/>
      <c r="AX113" s="316"/>
      <c r="AY113" s="316"/>
      <c r="AZ113" s="316"/>
      <c r="BA113" s="316"/>
      <c r="BB113" s="316"/>
      <c r="BC113" s="316"/>
      <c r="BD113" s="316"/>
      <c r="BE113" s="311"/>
      <c r="BF113" s="315"/>
      <c r="BG113" s="316"/>
      <c r="BH113" s="316"/>
      <c r="BI113" s="316"/>
      <c r="BJ113" s="316"/>
      <c r="BK113" s="316"/>
      <c r="BL113" s="316"/>
      <c r="BM113" s="316"/>
      <c r="BN113" s="311"/>
      <c r="BO113" s="310"/>
      <c r="BP113" s="310"/>
      <c r="BQ113" s="310"/>
      <c r="BR113" s="309"/>
      <c r="BS113" s="310"/>
      <c r="BT113" s="310"/>
      <c r="BU113" s="310"/>
      <c r="BV113" s="310"/>
      <c r="BW113" s="310"/>
      <c r="BX113" s="310"/>
      <c r="BY113" s="310"/>
      <c r="BZ113" s="310"/>
      <c r="CA113" s="310"/>
      <c r="CB113" s="310"/>
      <c r="CC113" s="310"/>
      <c r="CD113" s="310"/>
      <c r="CE113" s="310"/>
    </row>
    <row r="114" spans="1:83">
      <c r="A114" s="309"/>
      <c r="B114" s="309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1"/>
      <c r="O114" s="310"/>
      <c r="P114" s="311"/>
      <c r="Q114" s="310"/>
      <c r="R114" s="310"/>
      <c r="S114" s="310"/>
      <c r="T114" s="310"/>
      <c r="U114" s="311"/>
      <c r="V114" s="310"/>
      <c r="W114" s="310"/>
      <c r="X114" s="310"/>
      <c r="Y114" s="310"/>
      <c r="Z114" s="311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1"/>
      <c r="AL114" s="310"/>
      <c r="AM114" s="310"/>
      <c r="AN114" s="311"/>
      <c r="AO114" s="310"/>
      <c r="AP114" s="311"/>
      <c r="AQ114" s="310"/>
      <c r="AR114" s="316"/>
      <c r="AS114" s="310"/>
      <c r="AT114" s="310"/>
      <c r="AU114" s="310"/>
      <c r="AV114" s="310"/>
      <c r="AW114" s="315"/>
      <c r="AX114" s="316"/>
      <c r="AY114" s="316"/>
      <c r="AZ114" s="316"/>
      <c r="BA114" s="316"/>
      <c r="BB114" s="316"/>
      <c r="BC114" s="316"/>
      <c r="BD114" s="316"/>
      <c r="BE114" s="311"/>
      <c r="BF114" s="315"/>
      <c r="BG114" s="316"/>
      <c r="BH114" s="316"/>
      <c r="BI114" s="316"/>
      <c r="BJ114" s="316"/>
      <c r="BK114" s="316"/>
      <c r="BL114" s="316"/>
      <c r="BM114" s="316"/>
      <c r="BN114" s="311"/>
      <c r="BO114" s="310"/>
      <c r="BP114" s="310"/>
      <c r="BQ114" s="310"/>
      <c r="BR114" s="309"/>
      <c r="BS114" s="310"/>
      <c r="BT114" s="310"/>
      <c r="BU114" s="310"/>
      <c r="BV114" s="310"/>
      <c r="BW114" s="310"/>
      <c r="BX114" s="310"/>
      <c r="BY114" s="310"/>
      <c r="BZ114" s="310"/>
      <c r="CA114" s="310"/>
      <c r="CB114" s="310"/>
      <c r="CC114" s="310"/>
      <c r="CD114" s="310"/>
      <c r="CE114" s="310"/>
    </row>
    <row r="115" spans="1:83">
      <c r="A115" s="309"/>
      <c r="B115" s="309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1"/>
      <c r="O115" s="310"/>
      <c r="P115" s="311"/>
      <c r="Q115" s="310"/>
      <c r="R115" s="310"/>
      <c r="S115" s="310"/>
      <c r="T115" s="310"/>
      <c r="U115" s="311"/>
      <c r="V115" s="310"/>
      <c r="W115" s="310"/>
      <c r="X115" s="310"/>
      <c r="Y115" s="310"/>
      <c r="Z115" s="311"/>
      <c r="AA115" s="310"/>
      <c r="AB115" s="310"/>
      <c r="AC115" s="310"/>
      <c r="AD115" s="310"/>
      <c r="AE115" s="310"/>
      <c r="AF115" s="310"/>
      <c r="AG115" s="310"/>
      <c r="AH115" s="310"/>
      <c r="AI115" s="310"/>
      <c r="AJ115" s="310"/>
      <c r="AK115" s="311"/>
      <c r="AL115" s="310"/>
      <c r="AM115" s="310"/>
      <c r="AN115" s="311"/>
      <c r="AO115" s="310"/>
      <c r="AP115" s="311"/>
      <c r="AQ115" s="310"/>
      <c r="AR115" s="316"/>
      <c r="AS115" s="310"/>
      <c r="AT115" s="310"/>
      <c r="AU115" s="310"/>
      <c r="AV115" s="310"/>
      <c r="AW115" s="315"/>
      <c r="AX115" s="316"/>
      <c r="AY115" s="316"/>
      <c r="AZ115" s="316"/>
      <c r="BA115" s="316"/>
      <c r="BB115" s="316"/>
      <c r="BC115" s="316"/>
      <c r="BD115" s="316"/>
      <c r="BE115" s="311"/>
      <c r="BF115" s="315"/>
      <c r="BG115" s="316"/>
      <c r="BH115" s="316"/>
      <c r="BI115" s="316"/>
      <c r="BJ115" s="316"/>
      <c r="BK115" s="316"/>
      <c r="BL115" s="316"/>
      <c r="BM115" s="316"/>
      <c r="BN115" s="311"/>
      <c r="BO115" s="310"/>
      <c r="BP115" s="310"/>
      <c r="BQ115" s="310"/>
      <c r="BR115" s="309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</row>
    <row r="116" spans="1:83">
      <c r="A116" s="309"/>
      <c r="B116" s="309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1"/>
      <c r="O116" s="310"/>
      <c r="P116" s="311"/>
      <c r="Q116" s="310"/>
      <c r="R116" s="310"/>
      <c r="S116" s="310"/>
      <c r="T116" s="310"/>
      <c r="U116" s="311"/>
      <c r="V116" s="310"/>
      <c r="W116" s="310"/>
      <c r="X116" s="310"/>
      <c r="Y116" s="310"/>
      <c r="Z116" s="311"/>
      <c r="AA116" s="310"/>
      <c r="AB116" s="310"/>
      <c r="AC116" s="310"/>
      <c r="AD116" s="310"/>
      <c r="AE116" s="310"/>
      <c r="AF116" s="310"/>
      <c r="AG116" s="310"/>
      <c r="AH116" s="310"/>
      <c r="AI116" s="310"/>
      <c r="AJ116" s="310"/>
      <c r="AK116" s="311"/>
      <c r="AL116" s="310"/>
      <c r="AM116" s="310"/>
      <c r="AN116" s="311"/>
      <c r="AO116" s="310"/>
      <c r="AP116" s="311"/>
      <c r="AQ116" s="310"/>
      <c r="AR116" s="316"/>
      <c r="AS116" s="310"/>
      <c r="AT116" s="310"/>
      <c r="AU116" s="310"/>
      <c r="AV116" s="310"/>
      <c r="AW116" s="315"/>
      <c r="AX116" s="316"/>
      <c r="AY116" s="316"/>
      <c r="AZ116" s="316"/>
      <c r="BA116" s="316"/>
      <c r="BB116" s="316"/>
      <c r="BC116" s="316"/>
      <c r="BD116" s="316"/>
      <c r="BE116" s="311"/>
      <c r="BF116" s="315"/>
      <c r="BG116" s="316"/>
      <c r="BH116" s="316"/>
      <c r="BI116" s="316"/>
      <c r="BJ116" s="316"/>
      <c r="BK116" s="316"/>
      <c r="BL116" s="316"/>
      <c r="BM116" s="316"/>
      <c r="BN116" s="311"/>
      <c r="BO116" s="310"/>
      <c r="BP116" s="310"/>
      <c r="BQ116" s="310"/>
      <c r="BR116" s="309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</row>
    <row r="117" spans="1:83">
      <c r="A117" s="309"/>
      <c r="B117" s="309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1"/>
      <c r="O117" s="310"/>
      <c r="P117" s="311"/>
      <c r="Q117" s="310"/>
      <c r="R117" s="310"/>
      <c r="S117" s="310"/>
      <c r="T117" s="310"/>
      <c r="U117" s="311"/>
      <c r="V117" s="310"/>
      <c r="W117" s="310"/>
      <c r="X117" s="310"/>
      <c r="Y117" s="310"/>
      <c r="Z117" s="311"/>
      <c r="AA117" s="310"/>
      <c r="AB117" s="310"/>
      <c r="AC117" s="310"/>
      <c r="AD117" s="310"/>
      <c r="AE117" s="310"/>
      <c r="AF117" s="310"/>
      <c r="AG117" s="310"/>
      <c r="AH117" s="310"/>
      <c r="AI117" s="310"/>
      <c r="AJ117" s="310"/>
      <c r="AK117" s="311"/>
      <c r="AL117" s="310"/>
      <c r="AM117" s="310"/>
      <c r="AN117" s="311"/>
      <c r="AO117" s="310"/>
      <c r="AP117" s="311"/>
      <c r="AQ117" s="310"/>
      <c r="AR117" s="316"/>
      <c r="AS117" s="310"/>
      <c r="AT117" s="310"/>
      <c r="AU117" s="310"/>
      <c r="AV117" s="310"/>
      <c r="AW117" s="315"/>
      <c r="AX117" s="316"/>
      <c r="AY117" s="316"/>
      <c r="AZ117" s="316"/>
      <c r="BA117" s="316"/>
      <c r="BB117" s="316"/>
      <c r="BC117" s="316"/>
      <c r="BD117" s="316"/>
      <c r="BE117" s="311"/>
      <c r="BF117" s="315"/>
      <c r="BG117" s="316"/>
      <c r="BH117" s="316"/>
      <c r="BI117" s="316"/>
      <c r="BJ117" s="316"/>
      <c r="BK117" s="316"/>
      <c r="BL117" s="316"/>
      <c r="BM117" s="316"/>
      <c r="BN117" s="311"/>
      <c r="BO117" s="310"/>
      <c r="BP117" s="310"/>
      <c r="BQ117" s="310"/>
      <c r="BR117" s="309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</row>
    <row r="118" spans="1:83">
      <c r="A118" s="309"/>
      <c r="B118" s="309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1"/>
      <c r="O118" s="310"/>
      <c r="P118" s="311"/>
      <c r="Q118" s="310"/>
      <c r="R118" s="310"/>
      <c r="S118" s="310"/>
      <c r="T118" s="310"/>
      <c r="U118" s="311"/>
      <c r="V118" s="310"/>
      <c r="W118" s="310"/>
      <c r="X118" s="310"/>
      <c r="Y118" s="310"/>
      <c r="Z118" s="311"/>
      <c r="AA118" s="310"/>
      <c r="AB118" s="310"/>
      <c r="AC118" s="310"/>
      <c r="AD118" s="310"/>
      <c r="AE118" s="310"/>
      <c r="AF118" s="310"/>
      <c r="AG118" s="310"/>
      <c r="AH118" s="310"/>
      <c r="AI118" s="310"/>
      <c r="AJ118" s="310"/>
      <c r="AK118" s="311"/>
      <c r="AL118" s="310"/>
      <c r="AM118" s="310"/>
      <c r="AN118" s="311"/>
      <c r="AO118" s="310"/>
      <c r="AP118" s="311"/>
      <c r="AQ118" s="310"/>
      <c r="AR118" s="316"/>
      <c r="AS118" s="310"/>
      <c r="AT118" s="310"/>
      <c r="AU118" s="310"/>
      <c r="AV118" s="310"/>
      <c r="AW118" s="315"/>
      <c r="AX118" s="316"/>
      <c r="AY118" s="316"/>
      <c r="AZ118" s="316"/>
      <c r="BA118" s="316"/>
      <c r="BB118" s="316"/>
      <c r="BC118" s="316"/>
      <c r="BD118" s="316"/>
      <c r="BE118" s="311"/>
      <c r="BF118" s="315"/>
      <c r="BG118" s="316"/>
      <c r="BH118" s="316"/>
      <c r="BI118" s="316"/>
      <c r="BJ118" s="316"/>
      <c r="BK118" s="316"/>
      <c r="BL118" s="316"/>
      <c r="BM118" s="316"/>
      <c r="BN118" s="311"/>
      <c r="BO118" s="310"/>
      <c r="BP118" s="310"/>
      <c r="BQ118" s="310"/>
      <c r="BR118" s="309"/>
      <c r="BS118" s="310"/>
      <c r="BT118" s="310"/>
      <c r="BU118" s="310"/>
      <c r="BV118" s="310"/>
      <c r="BW118" s="310"/>
      <c r="BX118" s="310"/>
      <c r="BY118" s="310"/>
      <c r="BZ118" s="310"/>
      <c r="CA118" s="310"/>
      <c r="CB118" s="310"/>
      <c r="CC118" s="310"/>
      <c r="CD118" s="310"/>
      <c r="CE118" s="310"/>
    </row>
    <row r="119" spans="1:83">
      <c r="A119" s="309"/>
      <c r="B119" s="309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1"/>
      <c r="O119" s="310"/>
      <c r="P119" s="311"/>
      <c r="Q119" s="310"/>
      <c r="R119" s="310"/>
      <c r="S119" s="310"/>
      <c r="T119" s="310"/>
      <c r="U119" s="311"/>
      <c r="V119" s="310"/>
      <c r="W119" s="310"/>
      <c r="X119" s="310"/>
      <c r="Y119" s="310"/>
      <c r="Z119" s="311"/>
      <c r="AA119" s="310"/>
      <c r="AB119" s="310"/>
      <c r="AC119" s="310"/>
      <c r="AD119" s="310"/>
      <c r="AE119" s="310"/>
      <c r="AF119" s="310"/>
      <c r="AG119" s="310"/>
      <c r="AH119" s="310"/>
      <c r="AI119" s="310"/>
      <c r="AJ119" s="310"/>
      <c r="AK119" s="311"/>
      <c r="AL119" s="310"/>
      <c r="AM119" s="310"/>
      <c r="AN119" s="311"/>
      <c r="AO119" s="310"/>
      <c r="AP119" s="311"/>
      <c r="AQ119" s="310"/>
      <c r="AR119" s="316"/>
      <c r="AS119" s="310"/>
      <c r="AT119" s="310"/>
      <c r="AU119" s="310"/>
      <c r="AV119" s="310"/>
      <c r="AW119" s="315"/>
      <c r="AX119" s="316"/>
      <c r="AY119" s="316"/>
      <c r="AZ119" s="316"/>
      <c r="BA119" s="316"/>
      <c r="BB119" s="316"/>
      <c r="BC119" s="316"/>
      <c r="BD119" s="316"/>
      <c r="BE119" s="311"/>
      <c r="BF119" s="315"/>
      <c r="BG119" s="316"/>
      <c r="BH119" s="316"/>
      <c r="BI119" s="316"/>
      <c r="BJ119" s="316"/>
      <c r="BK119" s="316"/>
      <c r="BL119" s="316"/>
      <c r="BM119" s="316"/>
      <c r="BN119" s="311"/>
      <c r="BO119" s="310"/>
      <c r="BP119" s="310"/>
      <c r="BQ119" s="310"/>
      <c r="BR119" s="309"/>
      <c r="BS119" s="310"/>
      <c r="BT119" s="310"/>
      <c r="BU119" s="310"/>
      <c r="BV119" s="310"/>
      <c r="BW119" s="310"/>
      <c r="BX119" s="310"/>
      <c r="BY119" s="310"/>
      <c r="BZ119" s="310"/>
      <c r="CA119" s="310"/>
      <c r="CB119" s="310"/>
      <c r="CC119" s="310"/>
      <c r="CD119" s="310"/>
      <c r="CE119" s="310"/>
    </row>
    <row r="120" spans="1:83">
      <c r="A120" s="309"/>
      <c r="B120" s="309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1"/>
      <c r="O120" s="310"/>
      <c r="P120" s="311"/>
      <c r="Q120" s="310"/>
      <c r="R120" s="310"/>
      <c r="S120" s="310"/>
      <c r="T120" s="310"/>
      <c r="U120" s="311"/>
      <c r="V120" s="310"/>
      <c r="W120" s="310"/>
      <c r="X120" s="310"/>
      <c r="Y120" s="310"/>
      <c r="Z120" s="311"/>
      <c r="AA120" s="310"/>
      <c r="AB120" s="310"/>
      <c r="AC120" s="310"/>
      <c r="AD120" s="310"/>
      <c r="AE120" s="310"/>
      <c r="AF120" s="310"/>
      <c r="AG120" s="310"/>
      <c r="AH120" s="310"/>
      <c r="AI120" s="310"/>
      <c r="AJ120" s="310"/>
      <c r="AK120" s="311"/>
      <c r="AL120" s="310"/>
      <c r="AM120" s="310"/>
      <c r="AN120" s="311"/>
      <c r="AO120" s="310"/>
      <c r="AP120" s="311"/>
      <c r="AQ120" s="310"/>
      <c r="AR120" s="316"/>
      <c r="AS120" s="310"/>
      <c r="AT120" s="310"/>
      <c r="AU120" s="310"/>
      <c r="AV120" s="310"/>
      <c r="AW120" s="315"/>
      <c r="AX120" s="316"/>
      <c r="AY120" s="316"/>
      <c r="AZ120" s="316"/>
      <c r="BA120" s="316"/>
      <c r="BB120" s="316"/>
      <c r="BC120" s="316"/>
      <c r="BD120" s="316"/>
      <c r="BE120" s="311"/>
      <c r="BF120" s="315"/>
      <c r="BG120" s="316"/>
      <c r="BH120" s="316"/>
      <c r="BI120" s="316"/>
      <c r="BJ120" s="316"/>
      <c r="BK120" s="316"/>
      <c r="BL120" s="316"/>
      <c r="BM120" s="316"/>
      <c r="BN120" s="311"/>
      <c r="BO120" s="310"/>
      <c r="BP120" s="310"/>
      <c r="BQ120" s="310"/>
      <c r="BR120" s="309"/>
      <c r="BS120" s="310"/>
      <c r="BT120" s="310"/>
      <c r="BU120" s="310"/>
      <c r="BV120" s="310"/>
      <c r="BW120" s="310"/>
      <c r="BX120" s="310"/>
      <c r="BY120" s="310"/>
      <c r="BZ120" s="310"/>
      <c r="CA120" s="310"/>
      <c r="CB120" s="310"/>
      <c r="CC120" s="310"/>
      <c r="CD120" s="310"/>
      <c r="CE120" s="310"/>
    </row>
    <row r="121" spans="1:83">
      <c r="A121" s="309"/>
      <c r="B121" s="309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1"/>
      <c r="O121" s="310"/>
      <c r="P121" s="311"/>
      <c r="Q121" s="310"/>
      <c r="R121" s="310"/>
      <c r="S121" s="310"/>
      <c r="T121" s="310"/>
      <c r="U121" s="311"/>
      <c r="V121" s="310"/>
      <c r="W121" s="310"/>
      <c r="X121" s="310"/>
      <c r="Y121" s="310"/>
      <c r="Z121" s="311"/>
      <c r="AA121" s="310"/>
      <c r="AB121" s="310"/>
      <c r="AC121" s="310"/>
      <c r="AD121" s="310"/>
      <c r="AE121" s="310"/>
      <c r="AF121" s="310"/>
      <c r="AG121" s="310"/>
      <c r="AH121" s="310"/>
      <c r="AI121" s="310"/>
      <c r="AJ121" s="310"/>
      <c r="AK121" s="311"/>
      <c r="AL121" s="310"/>
      <c r="AM121" s="310"/>
      <c r="AN121" s="311"/>
      <c r="AO121" s="310"/>
      <c r="AP121" s="311"/>
      <c r="AQ121" s="310"/>
      <c r="AR121" s="316"/>
      <c r="AS121" s="310"/>
      <c r="AT121" s="310"/>
      <c r="AU121" s="310"/>
      <c r="AV121" s="310"/>
      <c r="AW121" s="315"/>
      <c r="AX121" s="316"/>
      <c r="AY121" s="316"/>
      <c r="AZ121" s="316"/>
      <c r="BA121" s="316"/>
      <c r="BB121" s="316"/>
      <c r="BC121" s="316"/>
      <c r="BD121" s="316"/>
      <c r="BE121" s="311"/>
      <c r="BF121" s="315"/>
      <c r="BG121" s="316"/>
      <c r="BH121" s="316"/>
      <c r="BI121" s="316"/>
      <c r="BJ121" s="316"/>
      <c r="BK121" s="316"/>
      <c r="BL121" s="316"/>
      <c r="BM121" s="316"/>
      <c r="BN121" s="311"/>
      <c r="BO121" s="310"/>
      <c r="BP121" s="310"/>
      <c r="BQ121" s="310"/>
      <c r="BR121" s="309"/>
      <c r="BS121" s="310"/>
      <c r="BT121" s="310"/>
      <c r="BU121" s="310"/>
      <c r="BV121" s="310"/>
      <c r="BW121" s="310"/>
      <c r="BX121" s="310"/>
      <c r="BY121" s="310"/>
      <c r="BZ121" s="310"/>
      <c r="CA121" s="310"/>
      <c r="CB121" s="310"/>
      <c r="CC121" s="310"/>
      <c r="CD121" s="310"/>
      <c r="CE121" s="310"/>
    </row>
    <row r="122" spans="1:83">
      <c r="A122" s="309"/>
      <c r="B122" s="309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1"/>
      <c r="O122" s="310"/>
      <c r="P122" s="311"/>
      <c r="Q122" s="310"/>
      <c r="R122" s="310"/>
      <c r="S122" s="310"/>
      <c r="T122" s="310"/>
      <c r="U122" s="311"/>
      <c r="V122" s="310"/>
      <c r="W122" s="310"/>
      <c r="X122" s="310"/>
      <c r="Y122" s="310"/>
      <c r="Z122" s="311"/>
      <c r="AA122" s="310"/>
      <c r="AB122" s="310"/>
      <c r="AC122" s="310"/>
      <c r="AD122" s="310"/>
      <c r="AE122" s="310"/>
      <c r="AF122" s="310"/>
      <c r="AG122" s="310"/>
      <c r="AH122" s="310"/>
      <c r="AI122" s="310"/>
      <c r="AJ122" s="310"/>
      <c r="AK122" s="311"/>
      <c r="AL122" s="310"/>
      <c r="AM122" s="310"/>
      <c r="AN122" s="311"/>
      <c r="AO122" s="310"/>
      <c r="AP122" s="311"/>
      <c r="AQ122" s="310"/>
      <c r="AR122" s="316"/>
      <c r="AS122" s="310"/>
      <c r="AT122" s="310"/>
      <c r="AU122" s="310"/>
      <c r="AV122" s="310"/>
      <c r="AW122" s="315"/>
      <c r="AX122" s="316"/>
      <c r="AY122" s="316"/>
      <c r="AZ122" s="316"/>
      <c r="BA122" s="316"/>
      <c r="BB122" s="316"/>
      <c r="BC122" s="316"/>
      <c r="BD122" s="316"/>
      <c r="BE122" s="311"/>
      <c r="BF122" s="315"/>
      <c r="BG122" s="316"/>
      <c r="BH122" s="316"/>
      <c r="BI122" s="316"/>
      <c r="BJ122" s="316"/>
      <c r="BK122" s="316"/>
      <c r="BL122" s="316"/>
      <c r="BM122" s="316"/>
      <c r="BN122" s="311"/>
      <c r="BO122" s="310"/>
      <c r="BP122" s="310"/>
      <c r="BQ122" s="310"/>
      <c r="BR122" s="309"/>
      <c r="BS122" s="310"/>
      <c r="BT122" s="310"/>
      <c r="BU122" s="310"/>
      <c r="BV122" s="310"/>
      <c r="BW122" s="310"/>
      <c r="BX122" s="310"/>
      <c r="BY122" s="310"/>
      <c r="BZ122" s="310"/>
      <c r="CA122" s="310"/>
      <c r="CB122" s="310"/>
      <c r="CC122" s="310"/>
      <c r="CD122" s="310"/>
      <c r="CE122" s="310"/>
    </row>
    <row r="123" spans="1:83">
      <c r="A123" s="309"/>
      <c r="B123" s="309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1"/>
      <c r="O123" s="310"/>
      <c r="P123" s="311"/>
      <c r="Q123" s="310"/>
      <c r="R123" s="310"/>
      <c r="S123" s="310"/>
      <c r="T123" s="310"/>
      <c r="U123" s="311"/>
      <c r="V123" s="310"/>
      <c r="W123" s="310"/>
      <c r="X123" s="310"/>
      <c r="Y123" s="310"/>
      <c r="Z123" s="311"/>
      <c r="AA123" s="310"/>
      <c r="AB123" s="310"/>
      <c r="AC123" s="310"/>
      <c r="AD123" s="310"/>
      <c r="AE123" s="310"/>
      <c r="AF123" s="310"/>
      <c r="AG123" s="310"/>
      <c r="AH123" s="310"/>
      <c r="AI123" s="310"/>
      <c r="AJ123" s="310"/>
      <c r="AK123" s="311"/>
      <c r="AL123" s="310"/>
      <c r="AM123" s="310"/>
      <c r="AN123" s="311"/>
      <c r="AO123" s="310"/>
      <c r="AP123" s="311"/>
      <c r="AQ123" s="310"/>
      <c r="AR123" s="316"/>
      <c r="AS123" s="310"/>
      <c r="AT123" s="310"/>
      <c r="AU123" s="310"/>
      <c r="AV123" s="310"/>
      <c r="AW123" s="315"/>
      <c r="AX123" s="316"/>
      <c r="AY123" s="316"/>
      <c r="AZ123" s="316"/>
      <c r="BA123" s="316"/>
      <c r="BB123" s="316"/>
      <c r="BC123" s="316"/>
      <c r="BD123" s="316"/>
      <c r="BE123" s="311"/>
      <c r="BF123" s="315"/>
      <c r="BG123" s="316"/>
      <c r="BH123" s="316"/>
      <c r="BI123" s="316"/>
      <c r="BJ123" s="316"/>
      <c r="BK123" s="316"/>
      <c r="BL123" s="316"/>
      <c r="BM123" s="316"/>
      <c r="BN123" s="311"/>
      <c r="BO123" s="310"/>
      <c r="BP123" s="310"/>
      <c r="BQ123" s="310"/>
      <c r="BR123" s="309"/>
      <c r="BS123" s="310"/>
      <c r="BT123" s="310"/>
      <c r="BU123" s="310"/>
      <c r="BV123" s="310"/>
      <c r="BW123" s="310"/>
      <c r="BX123" s="310"/>
      <c r="BY123" s="310"/>
      <c r="BZ123" s="310"/>
      <c r="CA123" s="310"/>
      <c r="CB123" s="310"/>
      <c r="CC123" s="310"/>
      <c r="CD123" s="310"/>
      <c r="CE123" s="310"/>
    </row>
    <row r="124" spans="1:83">
      <c r="A124" s="309"/>
      <c r="B124" s="309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1"/>
      <c r="O124" s="310"/>
      <c r="P124" s="311"/>
      <c r="Q124" s="310"/>
      <c r="R124" s="310"/>
      <c r="S124" s="310"/>
      <c r="T124" s="310"/>
      <c r="U124" s="311"/>
      <c r="V124" s="310"/>
      <c r="W124" s="310"/>
      <c r="X124" s="310"/>
      <c r="Y124" s="310"/>
      <c r="Z124" s="311"/>
      <c r="AA124" s="310"/>
      <c r="AB124" s="310"/>
      <c r="AC124" s="310"/>
      <c r="AD124" s="310"/>
      <c r="AE124" s="310"/>
      <c r="AF124" s="310"/>
      <c r="AG124" s="310"/>
      <c r="AH124" s="310"/>
      <c r="AI124" s="310"/>
      <c r="AJ124" s="310"/>
      <c r="AK124" s="311"/>
      <c r="AL124" s="310"/>
      <c r="AM124" s="310"/>
      <c r="AN124" s="311"/>
      <c r="AO124" s="310"/>
      <c r="AP124" s="311"/>
      <c r="AQ124" s="310"/>
      <c r="AR124" s="316"/>
      <c r="AS124" s="310"/>
      <c r="AT124" s="310"/>
      <c r="AU124" s="310"/>
      <c r="AV124" s="310"/>
      <c r="AW124" s="315"/>
      <c r="AX124" s="316"/>
      <c r="AY124" s="316"/>
      <c r="AZ124" s="316"/>
      <c r="BA124" s="316"/>
      <c r="BB124" s="316"/>
      <c r="BC124" s="316"/>
      <c r="BD124" s="316"/>
      <c r="BE124" s="311"/>
      <c r="BF124" s="315"/>
      <c r="BG124" s="316"/>
      <c r="BH124" s="316"/>
      <c r="BI124" s="316"/>
      <c r="BJ124" s="316"/>
      <c r="BK124" s="316"/>
      <c r="BL124" s="316"/>
      <c r="BM124" s="316"/>
      <c r="BN124" s="311"/>
      <c r="BO124" s="310"/>
      <c r="BP124" s="310"/>
      <c r="BQ124" s="310"/>
      <c r="BR124" s="309"/>
      <c r="BS124" s="310"/>
      <c r="BT124" s="310"/>
      <c r="BU124" s="310"/>
      <c r="BV124" s="310"/>
      <c r="BW124" s="310"/>
      <c r="BX124" s="310"/>
      <c r="BY124" s="310"/>
      <c r="BZ124" s="310"/>
      <c r="CA124" s="310"/>
      <c r="CB124" s="310"/>
      <c r="CC124" s="310"/>
      <c r="CD124" s="310"/>
      <c r="CE124" s="310"/>
    </row>
    <row r="125" spans="1:83">
      <c r="A125" s="309"/>
      <c r="B125" s="309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1"/>
      <c r="O125" s="310"/>
      <c r="P125" s="311"/>
      <c r="Q125" s="310"/>
      <c r="R125" s="310"/>
      <c r="S125" s="310"/>
      <c r="T125" s="310"/>
      <c r="U125" s="311"/>
      <c r="V125" s="310"/>
      <c r="W125" s="310"/>
      <c r="X125" s="310"/>
      <c r="Y125" s="310"/>
      <c r="Z125" s="311"/>
      <c r="AA125" s="310"/>
      <c r="AB125" s="310"/>
      <c r="AC125" s="310"/>
      <c r="AD125" s="310"/>
      <c r="AE125" s="310"/>
      <c r="AF125" s="310"/>
      <c r="AG125" s="310"/>
      <c r="AH125" s="310"/>
      <c r="AI125" s="310"/>
      <c r="AJ125" s="310"/>
      <c r="AK125" s="311"/>
      <c r="AL125" s="310"/>
      <c r="AM125" s="310"/>
      <c r="AN125" s="311"/>
      <c r="AO125" s="310"/>
      <c r="AP125" s="311"/>
      <c r="AQ125" s="310"/>
      <c r="AR125" s="316"/>
      <c r="AS125" s="310"/>
      <c r="AT125" s="310"/>
      <c r="AU125" s="310"/>
      <c r="AV125" s="310"/>
      <c r="AW125" s="315"/>
      <c r="AX125" s="316"/>
      <c r="AY125" s="316"/>
      <c r="AZ125" s="316"/>
      <c r="BA125" s="316"/>
      <c r="BB125" s="316"/>
      <c r="BC125" s="316"/>
      <c r="BD125" s="316"/>
      <c r="BE125" s="311"/>
      <c r="BF125" s="315"/>
      <c r="BG125" s="316"/>
      <c r="BH125" s="316"/>
      <c r="BI125" s="316"/>
      <c r="BJ125" s="316"/>
      <c r="BK125" s="316"/>
      <c r="BL125" s="316"/>
      <c r="BM125" s="316"/>
      <c r="BN125" s="311"/>
      <c r="BO125" s="310"/>
      <c r="BP125" s="310"/>
      <c r="BQ125" s="310"/>
      <c r="BR125" s="309"/>
      <c r="BS125" s="310"/>
      <c r="BT125" s="310"/>
      <c r="BU125" s="310"/>
      <c r="BV125" s="310"/>
      <c r="BW125" s="310"/>
      <c r="BX125" s="310"/>
      <c r="BY125" s="310"/>
      <c r="BZ125" s="310"/>
      <c r="CA125" s="310"/>
      <c r="CB125" s="310"/>
      <c r="CC125" s="310"/>
      <c r="CD125" s="310"/>
      <c r="CE125" s="310"/>
    </row>
    <row r="126" spans="1:83">
      <c r="A126" s="309"/>
      <c r="B126" s="309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1"/>
      <c r="O126" s="310"/>
      <c r="P126" s="311"/>
      <c r="Q126" s="310"/>
      <c r="R126" s="310"/>
      <c r="S126" s="310"/>
      <c r="T126" s="310"/>
      <c r="U126" s="311"/>
      <c r="V126" s="310"/>
      <c r="W126" s="310"/>
      <c r="X126" s="310"/>
      <c r="Y126" s="310"/>
      <c r="Z126" s="311"/>
      <c r="AA126" s="310"/>
      <c r="AB126" s="310"/>
      <c r="AC126" s="310"/>
      <c r="AD126" s="310"/>
      <c r="AE126" s="310"/>
      <c r="AF126" s="310"/>
      <c r="AG126" s="310"/>
      <c r="AH126" s="310"/>
      <c r="AI126" s="310"/>
      <c r="AJ126" s="310"/>
      <c r="AK126" s="311"/>
      <c r="AL126" s="310"/>
      <c r="AM126" s="310"/>
      <c r="AN126" s="311"/>
      <c r="AO126" s="310"/>
      <c r="AP126" s="311"/>
      <c r="AQ126" s="310"/>
      <c r="AR126" s="316"/>
      <c r="AS126" s="310"/>
      <c r="AT126" s="310"/>
      <c r="AU126" s="310"/>
      <c r="AV126" s="310"/>
      <c r="AW126" s="315"/>
      <c r="AX126" s="316"/>
      <c r="AY126" s="316"/>
      <c r="AZ126" s="316"/>
      <c r="BA126" s="316"/>
      <c r="BB126" s="316"/>
      <c r="BC126" s="316"/>
      <c r="BD126" s="316"/>
      <c r="BE126" s="311"/>
      <c r="BF126" s="315"/>
      <c r="BG126" s="316"/>
      <c r="BH126" s="316"/>
      <c r="BI126" s="316"/>
      <c r="BJ126" s="316"/>
      <c r="BK126" s="316"/>
      <c r="BL126" s="316"/>
      <c r="BM126" s="316"/>
      <c r="BN126" s="311"/>
      <c r="BO126" s="310"/>
      <c r="BP126" s="310"/>
      <c r="BQ126" s="310"/>
      <c r="BR126" s="309"/>
      <c r="BS126" s="310"/>
      <c r="BT126" s="310"/>
      <c r="BU126" s="310"/>
      <c r="BV126" s="310"/>
      <c r="BW126" s="310"/>
      <c r="BX126" s="310"/>
      <c r="BY126" s="310"/>
      <c r="BZ126" s="310"/>
      <c r="CA126" s="310"/>
      <c r="CB126" s="310"/>
      <c r="CC126" s="310"/>
      <c r="CD126" s="310"/>
      <c r="CE126" s="310"/>
    </row>
    <row r="127" spans="1:83">
      <c r="A127" s="309"/>
      <c r="B127" s="309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1"/>
      <c r="O127" s="310"/>
      <c r="P127" s="311"/>
      <c r="Q127" s="310"/>
      <c r="R127" s="310"/>
      <c r="S127" s="310"/>
      <c r="T127" s="310"/>
      <c r="U127" s="311"/>
      <c r="V127" s="310"/>
      <c r="W127" s="310"/>
      <c r="X127" s="310"/>
      <c r="Y127" s="310"/>
      <c r="Z127" s="311"/>
      <c r="AA127" s="310"/>
      <c r="AB127" s="310"/>
      <c r="AC127" s="310"/>
      <c r="AD127" s="310"/>
      <c r="AE127" s="310"/>
      <c r="AF127" s="310"/>
      <c r="AG127" s="310"/>
      <c r="AH127" s="310"/>
      <c r="AI127" s="310"/>
      <c r="AJ127" s="310"/>
      <c r="AK127" s="311"/>
      <c r="AL127" s="310"/>
      <c r="AM127" s="310"/>
      <c r="AN127" s="311"/>
      <c r="AO127" s="310"/>
      <c r="AP127" s="311"/>
      <c r="AQ127" s="310"/>
      <c r="AR127" s="316"/>
      <c r="AS127" s="310"/>
      <c r="AT127" s="310"/>
      <c r="AU127" s="310"/>
      <c r="AV127" s="310"/>
      <c r="AW127" s="315"/>
      <c r="AX127" s="316"/>
      <c r="AY127" s="316"/>
      <c r="AZ127" s="316"/>
      <c r="BA127" s="316"/>
      <c r="BB127" s="316"/>
      <c r="BC127" s="316"/>
      <c r="BD127" s="316"/>
      <c r="BE127" s="311"/>
      <c r="BF127" s="315"/>
      <c r="BG127" s="316"/>
      <c r="BH127" s="316"/>
      <c r="BI127" s="316"/>
      <c r="BJ127" s="316"/>
      <c r="BK127" s="316"/>
      <c r="BL127" s="316"/>
      <c r="BM127" s="316"/>
      <c r="BN127" s="311"/>
      <c r="BO127" s="310"/>
      <c r="BP127" s="310"/>
      <c r="BQ127" s="310"/>
      <c r="BR127" s="309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</row>
    <row r="128" spans="1:83">
      <c r="A128" s="309"/>
      <c r="B128" s="309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1"/>
      <c r="O128" s="310"/>
      <c r="P128" s="311"/>
      <c r="Q128" s="310"/>
      <c r="R128" s="310"/>
      <c r="S128" s="310"/>
      <c r="T128" s="310"/>
      <c r="U128" s="311"/>
      <c r="V128" s="310"/>
      <c r="W128" s="310"/>
      <c r="X128" s="310"/>
      <c r="Y128" s="310"/>
      <c r="Z128" s="311"/>
      <c r="AA128" s="310"/>
      <c r="AB128" s="310"/>
      <c r="AC128" s="310"/>
      <c r="AD128" s="310"/>
      <c r="AE128" s="310"/>
      <c r="AF128" s="310"/>
      <c r="AG128" s="310"/>
      <c r="AH128" s="310"/>
      <c r="AI128" s="310"/>
      <c r="AJ128" s="310"/>
      <c r="AK128" s="311"/>
      <c r="AL128" s="310"/>
      <c r="AM128" s="310"/>
      <c r="AN128" s="311"/>
      <c r="AO128" s="310"/>
      <c r="AP128" s="311"/>
      <c r="AQ128" s="310"/>
      <c r="AR128" s="316"/>
      <c r="AS128" s="310"/>
      <c r="AT128" s="310"/>
      <c r="AU128" s="310"/>
      <c r="AV128" s="310"/>
      <c r="AW128" s="315"/>
      <c r="AX128" s="316"/>
      <c r="AY128" s="316"/>
      <c r="AZ128" s="316"/>
      <c r="BA128" s="316"/>
      <c r="BB128" s="316"/>
      <c r="BC128" s="316"/>
      <c r="BD128" s="316"/>
      <c r="BE128" s="311"/>
      <c r="BF128" s="315"/>
      <c r="BG128" s="316"/>
      <c r="BH128" s="316"/>
      <c r="BI128" s="316"/>
      <c r="BJ128" s="316"/>
      <c r="BK128" s="316"/>
      <c r="BL128" s="316"/>
      <c r="BM128" s="316"/>
      <c r="BN128" s="311"/>
      <c r="BO128" s="310"/>
      <c r="BP128" s="310"/>
      <c r="BQ128" s="310"/>
      <c r="BR128" s="309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</row>
    <row r="129" spans="1:83">
      <c r="A129" s="309"/>
      <c r="B129" s="309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1"/>
      <c r="O129" s="310"/>
      <c r="P129" s="311"/>
      <c r="Q129" s="310"/>
      <c r="R129" s="310"/>
      <c r="S129" s="310"/>
      <c r="T129" s="310"/>
      <c r="U129" s="311"/>
      <c r="V129" s="310"/>
      <c r="W129" s="310"/>
      <c r="X129" s="310"/>
      <c r="Y129" s="310"/>
      <c r="Z129" s="311"/>
      <c r="AA129" s="310"/>
      <c r="AB129" s="310"/>
      <c r="AC129" s="310"/>
      <c r="AD129" s="310"/>
      <c r="AE129" s="310"/>
      <c r="AF129" s="310"/>
      <c r="AG129" s="310"/>
      <c r="AH129" s="310"/>
      <c r="AI129" s="310"/>
      <c r="AJ129" s="310"/>
      <c r="AK129" s="311"/>
      <c r="AL129" s="310"/>
      <c r="AM129" s="310"/>
      <c r="AN129" s="311"/>
      <c r="AO129" s="310"/>
      <c r="AP129" s="311"/>
      <c r="AQ129" s="310"/>
      <c r="AR129" s="316"/>
      <c r="AS129" s="310"/>
      <c r="AT129" s="310"/>
      <c r="AU129" s="310"/>
      <c r="AV129" s="310"/>
      <c r="AW129" s="315"/>
      <c r="AX129" s="316"/>
      <c r="AY129" s="316"/>
      <c r="AZ129" s="316"/>
      <c r="BA129" s="316"/>
      <c r="BB129" s="316"/>
      <c r="BC129" s="316"/>
      <c r="BD129" s="316"/>
      <c r="BE129" s="311"/>
      <c r="BF129" s="315"/>
      <c r="BG129" s="316"/>
      <c r="BH129" s="316"/>
      <c r="BI129" s="316"/>
      <c r="BJ129" s="316"/>
      <c r="BK129" s="316"/>
      <c r="BL129" s="316"/>
      <c r="BM129" s="316"/>
      <c r="BN129" s="311"/>
      <c r="BO129" s="310"/>
      <c r="BP129" s="310"/>
      <c r="BQ129" s="310"/>
      <c r="BR129" s="309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</row>
    <row r="130" spans="1:83">
      <c r="A130" s="309"/>
      <c r="B130" s="309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1"/>
      <c r="O130" s="310"/>
      <c r="P130" s="311"/>
      <c r="Q130" s="310"/>
      <c r="R130" s="310"/>
      <c r="S130" s="310"/>
      <c r="T130" s="310"/>
      <c r="U130" s="311"/>
      <c r="V130" s="310"/>
      <c r="W130" s="310"/>
      <c r="X130" s="310"/>
      <c r="Y130" s="310"/>
      <c r="Z130" s="311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1"/>
      <c r="AL130" s="310"/>
      <c r="AM130" s="310"/>
      <c r="AN130" s="311"/>
      <c r="AO130" s="310"/>
      <c r="AP130" s="311"/>
      <c r="AQ130" s="310"/>
      <c r="AR130" s="316"/>
      <c r="AS130" s="310"/>
      <c r="AT130" s="310"/>
      <c r="AU130" s="310"/>
      <c r="AV130" s="310"/>
      <c r="AW130" s="315"/>
      <c r="AX130" s="316"/>
      <c r="AY130" s="316"/>
      <c r="AZ130" s="316"/>
      <c r="BA130" s="316"/>
      <c r="BB130" s="316"/>
      <c r="BC130" s="316"/>
      <c r="BD130" s="316"/>
      <c r="BE130" s="311"/>
      <c r="BF130" s="315"/>
      <c r="BG130" s="316"/>
      <c r="BH130" s="316"/>
      <c r="BI130" s="316"/>
      <c r="BJ130" s="316"/>
      <c r="BK130" s="316"/>
      <c r="BL130" s="316"/>
      <c r="BM130" s="316"/>
      <c r="BN130" s="311"/>
      <c r="BO130" s="310"/>
      <c r="BP130" s="310"/>
      <c r="BQ130" s="310"/>
      <c r="BR130" s="309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</row>
    <row r="131" spans="1:83">
      <c r="A131" s="309"/>
      <c r="B131" s="309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1"/>
      <c r="O131" s="310"/>
      <c r="P131" s="311"/>
      <c r="Q131" s="310"/>
      <c r="R131" s="310"/>
      <c r="S131" s="310"/>
      <c r="T131" s="310"/>
      <c r="U131" s="311"/>
      <c r="V131" s="310"/>
      <c r="W131" s="310"/>
      <c r="X131" s="310"/>
      <c r="Y131" s="310"/>
      <c r="Z131" s="311"/>
      <c r="AA131" s="310"/>
      <c r="AB131" s="310"/>
      <c r="AC131" s="310"/>
      <c r="AD131" s="310"/>
      <c r="AE131" s="310"/>
      <c r="AF131" s="310"/>
      <c r="AG131" s="310"/>
      <c r="AH131" s="310"/>
      <c r="AI131" s="310"/>
      <c r="AJ131" s="310"/>
      <c r="AK131" s="311"/>
      <c r="AL131" s="310"/>
      <c r="AM131" s="310"/>
      <c r="AN131" s="311"/>
      <c r="AO131" s="310"/>
      <c r="AP131" s="311"/>
      <c r="AQ131" s="310"/>
      <c r="AR131" s="316"/>
      <c r="AS131" s="310"/>
      <c r="AT131" s="310"/>
      <c r="AU131" s="310"/>
      <c r="AV131" s="310"/>
      <c r="AW131" s="315"/>
      <c r="AX131" s="316"/>
      <c r="AY131" s="316"/>
      <c r="AZ131" s="316"/>
      <c r="BA131" s="316"/>
      <c r="BB131" s="316"/>
      <c r="BC131" s="316"/>
      <c r="BD131" s="316"/>
      <c r="BE131" s="311"/>
      <c r="BF131" s="315"/>
      <c r="BG131" s="316"/>
      <c r="BH131" s="316"/>
      <c r="BI131" s="316"/>
      <c r="BJ131" s="316"/>
      <c r="BK131" s="316"/>
      <c r="BL131" s="316"/>
      <c r="BM131" s="316"/>
      <c r="BN131" s="311"/>
      <c r="BO131" s="310"/>
      <c r="BP131" s="310"/>
      <c r="BQ131" s="310"/>
      <c r="BR131" s="309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</row>
    <row r="132" spans="1:83">
      <c r="A132" s="309"/>
      <c r="B132" s="309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1"/>
      <c r="O132" s="310"/>
      <c r="P132" s="311"/>
      <c r="Q132" s="310"/>
      <c r="R132" s="310"/>
      <c r="S132" s="310"/>
      <c r="T132" s="310"/>
      <c r="U132" s="311"/>
      <c r="V132" s="310"/>
      <c r="W132" s="310"/>
      <c r="X132" s="310"/>
      <c r="Y132" s="310"/>
      <c r="Z132" s="311"/>
      <c r="AA132" s="310"/>
      <c r="AB132" s="310"/>
      <c r="AC132" s="310"/>
      <c r="AD132" s="310"/>
      <c r="AE132" s="310"/>
      <c r="AF132" s="310"/>
      <c r="AG132" s="310"/>
      <c r="AH132" s="310"/>
      <c r="AI132" s="310"/>
      <c r="AJ132" s="310"/>
      <c r="AK132" s="311"/>
      <c r="AL132" s="310"/>
      <c r="AM132" s="310"/>
      <c r="AN132" s="311"/>
      <c r="AO132" s="310"/>
      <c r="AP132" s="311"/>
      <c r="AQ132" s="310"/>
      <c r="AR132" s="316"/>
      <c r="AS132" s="310"/>
      <c r="AT132" s="310"/>
      <c r="AU132" s="310"/>
      <c r="AV132" s="310"/>
      <c r="AW132" s="315"/>
      <c r="AX132" s="316"/>
      <c r="AY132" s="316"/>
      <c r="AZ132" s="316"/>
      <c r="BA132" s="316"/>
      <c r="BB132" s="316"/>
      <c r="BC132" s="316"/>
      <c r="BD132" s="316"/>
      <c r="BE132" s="311"/>
      <c r="BF132" s="315"/>
      <c r="BG132" s="316"/>
      <c r="BH132" s="316"/>
      <c r="BI132" s="316"/>
      <c r="BJ132" s="316"/>
      <c r="BK132" s="316"/>
      <c r="BL132" s="316"/>
      <c r="BM132" s="316"/>
      <c r="BN132" s="311"/>
      <c r="BO132" s="310"/>
      <c r="BP132" s="310"/>
      <c r="BQ132" s="310"/>
      <c r="BR132" s="309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</row>
    <row r="133" spans="1:83">
      <c r="A133" s="309"/>
      <c r="B133" s="309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1"/>
      <c r="O133" s="310"/>
      <c r="P133" s="311"/>
      <c r="Q133" s="310"/>
      <c r="R133" s="310"/>
      <c r="S133" s="310"/>
      <c r="T133" s="310"/>
      <c r="U133" s="311"/>
      <c r="V133" s="310"/>
      <c r="W133" s="310"/>
      <c r="X133" s="310"/>
      <c r="Y133" s="310"/>
      <c r="Z133" s="311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1"/>
      <c r="AL133" s="310"/>
      <c r="AM133" s="310"/>
      <c r="AN133" s="311"/>
      <c r="AO133" s="310"/>
      <c r="AP133" s="311"/>
      <c r="AQ133" s="310"/>
      <c r="AR133" s="316"/>
      <c r="AS133" s="310"/>
      <c r="AT133" s="310"/>
      <c r="AU133" s="310"/>
      <c r="AV133" s="310"/>
      <c r="AW133" s="315"/>
      <c r="AX133" s="316"/>
      <c r="AY133" s="316"/>
      <c r="AZ133" s="316"/>
      <c r="BA133" s="316"/>
      <c r="BB133" s="316"/>
      <c r="BC133" s="316"/>
      <c r="BD133" s="316"/>
      <c r="BE133" s="311"/>
      <c r="BF133" s="315"/>
      <c r="BG133" s="316"/>
      <c r="BH133" s="316"/>
      <c r="BI133" s="316"/>
      <c r="BJ133" s="316"/>
      <c r="BK133" s="316"/>
      <c r="BL133" s="316"/>
      <c r="BM133" s="316"/>
      <c r="BN133" s="311"/>
      <c r="BO133" s="310"/>
      <c r="BP133" s="310"/>
      <c r="BQ133" s="310"/>
      <c r="BR133" s="309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</row>
    <row r="134" spans="1:83">
      <c r="A134" s="309"/>
      <c r="B134" s="309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1"/>
      <c r="O134" s="310"/>
      <c r="P134" s="311"/>
      <c r="Q134" s="310"/>
      <c r="R134" s="310"/>
      <c r="S134" s="310"/>
      <c r="T134" s="310"/>
      <c r="U134" s="311"/>
      <c r="V134" s="310"/>
      <c r="W134" s="310"/>
      <c r="X134" s="310"/>
      <c r="Y134" s="310"/>
      <c r="Z134" s="311"/>
      <c r="AA134" s="310"/>
      <c r="AB134" s="310"/>
      <c r="AC134" s="310"/>
      <c r="AD134" s="310"/>
      <c r="AE134" s="310"/>
      <c r="AF134" s="310"/>
      <c r="AG134" s="310"/>
      <c r="AH134" s="310"/>
      <c r="AI134" s="310"/>
      <c r="AJ134" s="310"/>
      <c r="AK134" s="311"/>
      <c r="AL134" s="310"/>
      <c r="AM134" s="310"/>
      <c r="AN134" s="311"/>
      <c r="AO134" s="310"/>
      <c r="AP134" s="311"/>
      <c r="AQ134" s="310"/>
      <c r="AR134" s="316"/>
      <c r="AS134" s="310"/>
      <c r="AT134" s="310"/>
      <c r="AU134" s="310"/>
      <c r="AV134" s="310"/>
      <c r="AW134" s="315"/>
      <c r="AX134" s="316"/>
      <c r="AY134" s="316"/>
      <c r="AZ134" s="316"/>
      <c r="BA134" s="316"/>
      <c r="BB134" s="316"/>
      <c r="BC134" s="316"/>
      <c r="BD134" s="316"/>
      <c r="BE134" s="311"/>
      <c r="BF134" s="315"/>
      <c r="BG134" s="316"/>
      <c r="BH134" s="316"/>
      <c r="BI134" s="316"/>
      <c r="BJ134" s="316"/>
      <c r="BK134" s="316"/>
      <c r="BL134" s="316"/>
      <c r="BM134" s="316"/>
      <c r="BN134" s="311"/>
      <c r="BO134" s="310"/>
      <c r="BP134" s="310"/>
      <c r="BQ134" s="310"/>
      <c r="BR134" s="309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</row>
    <row r="135" spans="1:83">
      <c r="A135" s="309"/>
      <c r="B135" s="309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1"/>
      <c r="O135" s="310"/>
      <c r="P135" s="311"/>
      <c r="Q135" s="310"/>
      <c r="R135" s="310"/>
      <c r="S135" s="310"/>
      <c r="T135" s="310"/>
      <c r="U135" s="311"/>
      <c r="V135" s="310"/>
      <c r="W135" s="310"/>
      <c r="X135" s="310"/>
      <c r="Y135" s="310"/>
      <c r="Z135" s="311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1"/>
      <c r="AL135" s="310"/>
      <c r="AM135" s="310"/>
      <c r="AN135" s="311"/>
      <c r="AO135" s="310"/>
      <c r="AP135" s="311"/>
      <c r="AQ135" s="310"/>
      <c r="AR135" s="316"/>
      <c r="AS135" s="310"/>
      <c r="AT135" s="310"/>
      <c r="AU135" s="310"/>
      <c r="AV135" s="310"/>
      <c r="AW135" s="315"/>
      <c r="AX135" s="316"/>
      <c r="AY135" s="316"/>
      <c r="AZ135" s="316"/>
      <c r="BA135" s="316"/>
      <c r="BB135" s="316"/>
      <c r="BC135" s="316"/>
      <c r="BD135" s="316"/>
      <c r="BE135" s="311"/>
      <c r="BF135" s="315"/>
      <c r="BG135" s="316"/>
      <c r="BH135" s="316"/>
      <c r="BI135" s="316"/>
      <c r="BJ135" s="316"/>
      <c r="BK135" s="316"/>
      <c r="BL135" s="316"/>
      <c r="BM135" s="316"/>
      <c r="BN135" s="311"/>
      <c r="BO135" s="310"/>
      <c r="BP135" s="310"/>
      <c r="BQ135" s="310"/>
      <c r="BR135" s="309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</row>
    <row r="136" spans="1:83">
      <c r="A136" s="309"/>
      <c r="B136" s="309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1"/>
      <c r="O136" s="310"/>
      <c r="P136" s="311"/>
      <c r="Q136" s="310"/>
      <c r="R136" s="310"/>
      <c r="S136" s="310"/>
      <c r="T136" s="310"/>
      <c r="U136" s="311"/>
      <c r="V136" s="310"/>
      <c r="W136" s="310"/>
      <c r="X136" s="310"/>
      <c r="Y136" s="310"/>
      <c r="Z136" s="311"/>
      <c r="AA136" s="310"/>
      <c r="AB136" s="310"/>
      <c r="AC136" s="310"/>
      <c r="AD136" s="310"/>
      <c r="AE136" s="310"/>
      <c r="AF136" s="310"/>
      <c r="AG136" s="310"/>
      <c r="AH136" s="310"/>
      <c r="AI136" s="310"/>
      <c r="AJ136" s="310"/>
      <c r="AK136" s="311"/>
      <c r="AL136" s="310"/>
      <c r="AM136" s="310"/>
      <c r="AN136" s="311"/>
      <c r="AO136" s="310"/>
      <c r="AP136" s="311"/>
      <c r="AQ136" s="310"/>
      <c r="AR136" s="316"/>
      <c r="AS136" s="310"/>
      <c r="AT136" s="310"/>
      <c r="AU136" s="310"/>
      <c r="AV136" s="310"/>
      <c r="AW136" s="315"/>
      <c r="AX136" s="316"/>
      <c r="AY136" s="316"/>
      <c r="AZ136" s="316"/>
      <c r="BA136" s="316"/>
      <c r="BB136" s="316"/>
      <c r="BC136" s="316"/>
      <c r="BD136" s="316"/>
      <c r="BE136" s="311"/>
      <c r="BF136" s="315"/>
      <c r="BG136" s="316"/>
      <c r="BH136" s="316"/>
      <c r="BI136" s="316"/>
      <c r="BJ136" s="316"/>
      <c r="BK136" s="316"/>
      <c r="BL136" s="316"/>
      <c r="BM136" s="316"/>
      <c r="BN136" s="311"/>
      <c r="BO136" s="310"/>
      <c r="BP136" s="310"/>
      <c r="BQ136" s="310"/>
      <c r="BR136" s="309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</row>
    <row r="137" spans="1:83">
      <c r="A137" s="309"/>
      <c r="B137" s="309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1"/>
      <c r="O137" s="310"/>
      <c r="P137" s="311"/>
      <c r="Q137" s="310"/>
      <c r="R137" s="310"/>
      <c r="S137" s="310"/>
      <c r="T137" s="310"/>
      <c r="U137" s="311"/>
      <c r="V137" s="310"/>
      <c r="W137" s="310"/>
      <c r="X137" s="310"/>
      <c r="Y137" s="310"/>
      <c r="Z137" s="311"/>
      <c r="AA137" s="310"/>
      <c r="AB137" s="310"/>
      <c r="AC137" s="310"/>
      <c r="AD137" s="310"/>
      <c r="AE137" s="310"/>
      <c r="AF137" s="310"/>
      <c r="AG137" s="310"/>
      <c r="AH137" s="310"/>
      <c r="AI137" s="310"/>
      <c r="AJ137" s="310"/>
      <c r="AK137" s="311"/>
      <c r="AL137" s="310"/>
      <c r="AM137" s="310"/>
      <c r="AN137" s="311"/>
      <c r="AO137" s="310"/>
      <c r="AP137" s="311"/>
      <c r="AQ137" s="310"/>
      <c r="AR137" s="316"/>
      <c r="AS137" s="310"/>
      <c r="AT137" s="310"/>
      <c r="AU137" s="310"/>
      <c r="AV137" s="310"/>
      <c r="AW137" s="315"/>
      <c r="AX137" s="316"/>
      <c r="AY137" s="316"/>
      <c r="AZ137" s="316"/>
      <c r="BA137" s="316"/>
      <c r="BB137" s="316"/>
      <c r="BC137" s="316"/>
      <c r="BD137" s="316"/>
      <c r="BE137" s="311"/>
      <c r="BF137" s="315"/>
      <c r="BG137" s="316"/>
      <c r="BH137" s="316"/>
      <c r="BI137" s="316"/>
      <c r="BJ137" s="316"/>
      <c r="BK137" s="316"/>
      <c r="BL137" s="316"/>
      <c r="BM137" s="316"/>
      <c r="BN137" s="311"/>
      <c r="BO137" s="310"/>
      <c r="BP137" s="310"/>
      <c r="BQ137" s="310"/>
      <c r="BR137" s="309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</row>
    <row r="138" spans="1:83">
      <c r="A138" s="309"/>
      <c r="B138" s="309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1"/>
      <c r="O138" s="310"/>
      <c r="P138" s="311"/>
      <c r="Q138" s="310"/>
      <c r="R138" s="310"/>
      <c r="S138" s="310"/>
      <c r="T138" s="310"/>
      <c r="U138" s="311"/>
      <c r="V138" s="310"/>
      <c r="W138" s="310"/>
      <c r="X138" s="310"/>
      <c r="Y138" s="310"/>
      <c r="Z138" s="311"/>
      <c r="AA138" s="310"/>
      <c r="AB138" s="310"/>
      <c r="AC138" s="310"/>
      <c r="AD138" s="310"/>
      <c r="AE138" s="310"/>
      <c r="AF138" s="310"/>
      <c r="AG138" s="310"/>
      <c r="AH138" s="310"/>
      <c r="AI138" s="310"/>
      <c r="AJ138" s="310"/>
      <c r="AK138" s="311"/>
      <c r="AL138" s="310"/>
      <c r="AM138" s="310"/>
      <c r="AN138" s="311"/>
      <c r="AO138" s="310"/>
      <c r="AP138" s="311"/>
      <c r="AQ138" s="310"/>
      <c r="AR138" s="316"/>
      <c r="AS138" s="310"/>
      <c r="AT138" s="310"/>
      <c r="AU138" s="310"/>
      <c r="AV138" s="310"/>
      <c r="AW138" s="315"/>
      <c r="AX138" s="316"/>
      <c r="AY138" s="316"/>
      <c r="AZ138" s="316"/>
      <c r="BA138" s="316"/>
      <c r="BB138" s="316"/>
      <c r="BC138" s="316"/>
      <c r="BD138" s="316"/>
      <c r="BE138" s="311"/>
      <c r="BF138" s="315"/>
      <c r="BG138" s="316"/>
      <c r="BH138" s="316"/>
      <c r="BI138" s="316"/>
      <c r="BJ138" s="316"/>
      <c r="BK138" s="316"/>
      <c r="BL138" s="316"/>
      <c r="BM138" s="316"/>
      <c r="BN138" s="311"/>
      <c r="BO138" s="310"/>
      <c r="BP138" s="310"/>
      <c r="BQ138" s="310"/>
      <c r="BR138" s="309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</row>
    <row r="139" spans="1:83">
      <c r="A139" s="309"/>
      <c r="B139" s="309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1"/>
      <c r="O139" s="310"/>
      <c r="P139" s="311"/>
      <c r="Q139" s="310"/>
      <c r="R139" s="310"/>
      <c r="S139" s="310"/>
      <c r="T139" s="310"/>
      <c r="U139" s="311"/>
      <c r="V139" s="310"/>
      <c r="W139" s="310"/>
      <c r="X139" s="310"/>
      <c r="Y139" s="310"/>
      <c r="Z139" s="311"/>
      <c r="AA139" s="310"/>
      <c r="AB139" s="310"/>
      <c r="AC139" s="310"/>
      <c r="AD139" s="310"/>
      <c r="AE139" s="310"/>
      <c r="AF139" s="310"/>
      <c r="AG139" s="310"/>
      <c r="AH139" s="310"/>
      <c r="AI139" s="310"/>
      <c r="AJ139" s="310"/>
      <c r="AK139" s="311"/>
      <c r="AL139" s="310"/>
      <c r="AM139" s="310"/>
      <c r="AN139" s="311"/>
      <c r="AO139" s="310"/>
      <c r="AP139" s="311"/>
      <c r="AQ139" s="310"/>
      <c r="AR139" s="316"/>
      <c r="AS139" s="310"/>
      <c r="AT139" s="310"/>
      <c r="AU139" s="310"/>
      <c r="AV139" s="310"/>
      <c r="AW139" s="315"/>
      <c r="AX139" s="316"/>
      <c r="AY139" s="316"/>
      <c r="AZ139" s="316"/>
      <c r="BA139" s="316"/>
      <c r="BB139" s="316"/>
      <c r="BC139" s="316"/>
      <c r="BD139" s="316"/>
      <c r="BE139" s="311"/>
      <c r="BF139" s="315"/>
      <c r="BG139" s="316"/>
      <c r="BH139" s="316"/>
      <c r="BI139" s="316"/>
      <c r="BJ139" s="316"/>
      <c r="BK139" s="316"/>
      <c r="BL139" s="316"/>
      <c r="BM139" s="316"/>
      <c r="BN139" s="311"/>
      <c r="BO139" s="310"/>
      <c r="BP139" s="310"/>
      <c r="BQ139" s="310"/>
      <c r="BR139" s="309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</row>
    <row r="140" spans="1:83">
      <c r="A140" s="309"/>
      <c r="B140" s="309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1"/>
      <c r="O140" s="310"/>
      <c r="P140" s="311"/>
      <c r="Q140" s="310"/>
      <c r="R140" s="310"/>
      <c r="S140" s="310"/>
      <c r="T140" s="310"/>
      <c r="U140" s="311"/>
      <c r="V140" s="310"/>
      <c r="W140" s="310"/>
      <c r="X140" s="310"/>
      <c r="Y140" s="310"/>
      <c r="Z140" s="311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1"/>
      <c r="AL140" s="310"/>
      <c r="AM140" s="310"/>
      <c r="AN140" s="311"/>
      <c r="AO140" s="310"/>
      <c r="AP140" s="311"/>
      <c r="AQ140" s="310"/>
      <c r="AR140" s="316"/>
      <c r="AS140" s="310"/>
      <c r="AT140" s="310"/>
      <c r="AU140" s="310"/>
      <c r="AV140" s="310"/>
      <c r="AW140" s="315"/>
      <c r="AX140" s="316"/>
      <c r="AY140" s="316"/>
      <c r="AZ140" s="316"/>
      <c r="BA140" s="316"/>
      <c r="BB140" s="316"/>
      <c r="BC140" s="316"/>
      <c r="BD140" s="316"/>
      <c r="BE140" s="311"/>
      <c r="BF140" s="315"/>
      <c r="BG140" s="316"/>
      <c r="BH140" s="316"/>
      <c r="BI140" s="316"/>
      <c r="BJ140" s="316"/>
      <c r="BK140" s="316"/>
      <c r="BL140" s="316"/>
      <c r="BM140" s="316"/>
      <c r="BN140" s="311"/>
      <c r="BO140" s="310"/>
      <c r="BP140" s="310"/>
      <c r="BQ140" s="310"/>
      <c r="BR140" s="309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</row>
    <row r="141" spans="1:83">
      <c r="A141" s="309"/>
      <c r="B141" s="309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1"/>
      <c r="O141" s="310"/>
      <c r="P141" s="311"/>
      <c r="Q141" s="310"/>
      <c r="R141" s="310"/>
      <c r="S141" s="310"/>
      <c r="T141" s="310"/>
      <c r="U141" s="311"/>
      <c r="V141" s="310"/>
      <c r="W141" s="310"/>
      <c r="X141" s="310"/>
      <c r="Y141" s="310"/>
      <c r="Z141" s="311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1"/>
      <c r="AL141" s="310"/>
      <c r="AM141" s="310"/>
      <c r="AN141" s="311"/>
      <c r="AO141" s="310"/>
      <c r="AP141" s="311"/>
      <c r="AQ141" s="310"/>
      <c r="AR141" s="316"/>
      <c r="AS141" s="310"/>
      <c r="AT141" s="310"/>
      <c r="AU141" s="310"/>
      <c r="AV141" s="310"/>
      <c r="AW141" s="315"/>
      <c r="AX141" s="316"/>
      <c r="AY141" s="316"/>
      <c r="AZ141" s="316"/>
      <c r="BA141" s="316"/>
      <c r="BB141" s="316"/>
      <c r="BC141" s="316"/>
      <c r="BD141" s="316"/>
      <c r="BE141" s="311"/>
      <c r="BF141" s="315"/>
      <c r="BG141" s="316"/>
      <c r="BH141" s="316"/>
      <c r="BI141" s="316"/>
      <c r="BJ141" s="316"/>
      <c r="BK141" s="316"/>
      <c r="BL141" s="316"/>
      <c r="BM141" s="316"/>
      <c r="BN141" s="311"/>
      <c r="BO141" s="310"/>
      <c r="BP141" s="310"/>
      <c r="BQ141" s="310"/>
      <c r="BR141" s="309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</row>
    <row r="142" spans="1:83">
      <c r="A142" s="309"/>
      <c r="B142" s="309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1"/>
      <c r="O142" s="310"/>
      <c r="P142" s="311"/>
      <c r="Q142" s="310"/>
      <c r="R142" s="310"/>
      <c r="S142" s="310"/>
      <c r="T142" s="310"/>
      <c r="U142" s="311"/>
      <c r="V142" s="310"/>
      <c r="W142" s="310"/>
      <c r="X142" s="310"/>
      <c r="Y142" s="310"/>
      <c r="Z142" s="311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1"/>
      <c r="AL142" s="310"/>
      <c r="AM142" s="310"/>
      <c r="AN142" s="311"/>
      <c r="AO142" s="310"/>
      <c r="AP142" s="311"/>
      <c r="AQ142" s="310"/>
      <c r="AR142" s="316"/>
      <c r="AS142" s="310"/>
      <c r="AT142" s="310"/>
      <c r="AU142" s="310"/>
      <c r="AV142" s="310"/>
      <c r="AW142" s="315"/>
      <c r="AX142" s="316"/>
      <c r="AY142" s="316"/>
      <c r="AZ142" s="316"/>
      <c r="BA142" s="316"/>
      <c r="BB142" s="316"/>
      <c r="BC142" s="316"/>
      <c r="BD142" s="316"/>
      <c r="BE142" s="311"/>
      <c r="BF142" s="315"/>
      <c r="BG142" s="316"/>
      <c r="BH142" s="316"/>
      <c r="BI142" s="316"/>
      <c r="BJ142" s="316"/>
      <c r="BK142" s="316"/>
      <c r="BL142" s="316"/>
      <c r="BM142" s="316"/>
      <c r="BN142" s="311"/>
      <c r="BO142" s="310"/>
      <c r="BP142" s="310"/>
      <c r="BQ142" s="310"/>
      <c r="BR142" s="309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</row>
    <row r="143" spans="1:83">
      <c r="A143" s="309"/>
      <c r="B143" s="309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1"/>
      <c r="O143" s="310"/>
      <c r="P143" s="311"/>
      <c r="Q143" s="310"/>
      <c r="R143" s="310"/>
      <c r="S143" s="310"/>
      <c r="T143" s="310"/>
      <c r="U143" s="311"/>
      <c r="V143" s="310"/>
      <c r="W143" s="310"/>
      <c r="X143" s="310"/>
      <c r="Y143" s="310"/>
      <c r="Z143" s="311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1"/>
      <c r="AL143" s="310"/>
      <c r="AM143" s="310"/>
      <c r="AN143" s="311"/>
      <c r="AO143" s="310"/>
      <c r="AP143" s="311"/>
      <c r="AQ143" s="310"/>
      <c r="AR143" s="316"/>
      <c r="AS143" s="310"/>
      <c r="AT143" s="310"/>
      <c r="AU143" s="310"/>
      <c r="AV143" s="310"/>
      <c r="AW143" s="315"/>
      <c r="AX143" s="316"/>
      <c r="AY143" s="316"/>
      <c r="AZ143" s="316"/>
      <c r="BA143" s="316"/>
      <c r="BB143" s="316"/>
      <c r="BC143" s="316"/>
      <c r="BD143" s="316"/>
      <c r="BE143" s="311"/>
      <c r="BF143" s="315"/>
      <c r="BG143" s="316"/>
      <c r="BH143" s="316"/>
      <c r="BI143" s="316"/>
      <c r="BJ143" s="316"/>
      <c r="BK143" s="316"/>
      <c r="BL143" s="316"/>
      <c r="BM143" s="316"/>
      <c r="BN143" s="311"/>
      <c r="BO143" s="310"/>
      <c r="BP143" s="310"/>
      <c r="BQ143" s="310"/>
      <c r="BR143" s="309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</row>
    <row r="144" spans="1:83">
      <c r="A144" s="309"/>
      <c r="B144" s="309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1"/>
      <c r="O144" s="310"/>
      <c r="P144" s="311"/>
      <c r="Q144" s="310"/>
      <c r="R144" s="310"/>
      <c r="S144" s="310"/>
      <c r="T144" s="310"/>
      <c r="U144" s="311"/>
      <c r="V144" s="310"/>
      <c r="W144" s="310"/>
      <c r="X144" s="310"/>
      <c r="Y144" s="310"/>
      <c r="Z144" s="311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1"/>
      <c r="AL144" s="310"/>
      <c r="AM144" s="310"/>
      <c r="AN144" s="311"/>
      <c r="AO144" s="310"/>
      <c r="AP144" s="311"/>
      <c r="AQ144" s="310"/>
      <c r="AR144" s="316"/>
      <c r="AS144" s="310"/>
      <c r="AT144" s="310"/>
      <c r="AU144" s="310"/>
      <c r="AV144" s="310"/>
      <c r="AW144" s="315"/>
      <c r="AX144" s="316"/>
      <c r="AY144" s="316"/>
      <c r="AZ144" s="316"/>
      <c r="BA144" s="316"/>
      <c r="BB144" s="316"/>
      <c r="BC144" s="316"/>
      <c r="BD144" s="316"/>
      <c r="BE144" s="311"/>
      <c r="BF144" s="315"/>
      <c r="BG144" s="316"/>
      <c r="BH144" s="316"/>
      <c r="BI144" s="316"/>
      <c r="BJ144" s="316"/>
      <c r="BK144" s="316"/>
      <c r="BL144" s="316"/>
      <c r="BM144" s="316"/>
      <c r="BN144" s="311"/>
      <c r="BO144" s="310"/>
      <c r="BP144" s="310"/>
      <c r="BQ144" s="310"/>
      <c r="BR144" s="309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</row>
    <row r="145" spans="1:83">
      <c r="A145" s="309"/>
      <c r="B145" s="309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1"/>
      <c r="O145" s="310"/>
      <c r="P145" s="311"/>
      <c r="Q145" s="310"/>
      <c r="R145" s="310"/>
      <c r="S145" s="310"/>
      <c r="T145" s="310"/>
      <c r="U145" s="311"/>
      <c r="V145" s="310"/>
      <c r="W145" s="310"/>
      <c r="X145" s="310"/>
      <c r="Y145" s="310"/>
      <c r="Z145" s="311"/>
      <c r="AA145" s="310"/>
      <c r="AB145" s="310"/>
      <c r="AC145" s="310"/>
      <c r="AD145" s="310"/>
      <c r="AE145" s="310"/>
      <c r="AF145" s="310"/>
      <c r="AG145" s="310"/>
      <c r="AH145" s="310"/>
      <c r="AI145" s="310"/>
      <c r="AJ145" s="310"/>
      <c r="AK145" s="311"/>
      <c r="AL145" s="310"/>
      <c r="AM145" s="310"/>
      <c r="AN145" s="311"/>
      <c r="AO145" s="310"/>
      <c r="AP145" s="311"/>
      <c r="AQ145" s="310"/>
      <c r="AR145" s="316"/>
      <c r="AS145" s="310"/>
      <c r="AT145" s="310"/>
      <c r="AU145" s="310"/>
      <c r="AV145" s="310"/>
      <c r="AW145" s="315"/>
      <c r="AX145" s="316"/>
      <c r="AY145" s="316"/>
      <c r="AZ145" s="316"/>
      <c r="BA145" s="316"/>
      <c r="BB145" s="316"/>
      <c r="BC145" s="316"/>
      <c r="BD145" s="316"/>
      <c r="BE145" s="311"/>
      <c r="BF145" s="315"/>
      <c r="BG145" s="316"/>
      <c r="BH145" s="316"/>
      <c r="BI145" s="316"/>
      <c r="BJ145" s="316"/>
      <c r="BK145" s="316"/>
      <c r="BL145" s="316"/>
      <c r="BM145" s="316"/>
      <c r="BN145" s="311"/>
      <c r="BO145" s="310"/>
      <c r="BP145" s="310"/>
      <c r="BQ145" s="310"/>
      <c r="BR145" s="309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</row>
    <row r="146" spans="1:83">
      <c r="A146" s="309"/>
      <c r="B146" s="309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1"/>
      <c r="O146" s="310"/>
      <c r="P146" s="311"/>
      <c r="Q146" s="310"/>
      <c r="R146" s="310"/>
      <c r="S146" s="310"/>
      <c r="T146" s="310"/>
      <c r="U146" s="311"/>
      <c r="V146" s="310"/>
      <c r="W146" s="310"/>
      <c r="X146" s="310"/>
      <c r="Y146" s="310"/>
      <c r="Z146" s="311"/>
      <c r="AA146" s="310"/>
      <c r="AB146" s="310"/>
      <c r="AC146" s="310"/>
      <c r="AD146" s="310"/>
      <c r="AE146" s="310"/>
      <c r="AF146" s="310"/>
      <c r="AG146" s="310"/>
      <c r="AH146" s="310"/>
      <c r="AI146" s="310"/>
      <c r="AJ146" s="310"/>
      <c r="AK146" s="311"/>
      <c r="AL146" s="310"/>
      <c r="AM146" s="310"/>
      <c r="AN146" s="311"/>
      <c r="AO146" s="310"/>
      <c r="AP146" s="311"/>
      <c r="AQ146" s="310"/>
      <c r="AR146" s="316"/>
      <c r="AS146" s="310"/>
      <c r="AT146" s="310"/>
      <c r="AU146" s="310"/>
      <c r="AV146" s="310"/>
      <c r="AW146" s="315"/>
      <c r="AX146" s="316"/>
      <c r="AY146" s="316"/>
      <c r="AZ146" s="316"/>
      <c r="BA146" s="316"/>
      <c r="BB146" s="316"/>
      <c r="BC146" s="316"/>
      <c r="BD146" s="316"/>
      <c r="BE146" s="311"/>
      <c r="BF146" s="315"/>
      <c r="BG146" s="316"/>
      <c r="BH146" s="316"/>
      <c r="BI146" s="316"/>
      <c r="BJ146" s="316"/>
      <c r="BK146" s="316"/>
      <c r="BL146" s="316"/>
      <c r="BM146" s="316"/>
      <c r="BN146" s="311"/>
      <c r="BO146" s="310"/>
      <c r="BP146" s="310"/>
      <c r="BQ146" s="310"/>
      <c r="BR146" s="309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</row>
    <row r="147" spans="1:83">
      <c r="A147" s="309"/>
      <c r="B147" s="309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1"/>
      <c r="O147" s="310"/>
      <c r="P147" s="311"/>
      <c r="Q147" s="310"/>
      <c r="R147" s="310"/>
      <c r="S147" s="310"/>
      <c r="T147" s="310"/>
      <c r="U147" s="311"/>
      <c r="V147" s="310"/>
      <c r="W147" s="310"/>
      <c r="X147" s="310"/>
      <c r="Y147" s="310"/>
      <c r="Z147" s="311"/>
      <c r="AA147" s="310"/>
      <c r="AB147" s="310"/>
      <c r="AC147" s="310"/>
      <c r="AD147" s="310"/>
      <c r="AE147" s="310"/>
      <c r="AF147" s="310"/>
      <c r="AG147" s="310"/>
      <c r="AH147" s="310"/>
      <c r="AI147" s="310"/>
      <c r="AJ147" s="310"/>
      <c r="AK147" s="311"/>
      <c r="AL147" s="310"/>
      <c r="AM147" s="310"/>
      <c r="AN147" s="311"/>
      <c r="AO147" s="310"/>
      <c r="AP147" s="311"/>
      <c r="AQ147" s="310"/>
      <c r="AR147" s="316"/>
      <c r="AS147" s="310"/>
      <c r="AT147" s="310"/>
      <c r="AU147" s="310"/>
      <c r="AV147" s="310"/>
      <c r="AW147" s="315"/>
      <c r="AX147" s="316"/>
      <c r="AY147" s="316"/>
      <c r="AZ147" s="316"/>
      <c r="BA147" s="316"/>
      <c r="BB147" s="316"/>
      <c r="BC147" s="316"/>
      <c r="BD147" s="316"/>
      <c r="BE147" s="311"/>
      <c r="BF147" s="315"/>
      <c r="BG147" s="316"/>
      <c r="BH147" s="316"/>
      <c r="BI147" s="316"/>
      <c r="BJ147" s="316"/>
      <c r="BK147" s="316"/>
      <c r="BL147" s="316"/>
      <c r="BM147" s="316"/>
      <c r="BN147" s="311"/>
      <c r="BO147" s="310"/>
      <c r="BP147" s="310"/>
      <c r="BQ147" s="310"/>
      <c r="BR147" s="309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</row>
    <row r="148" spans="1:83">
      <c r="A148" s="309"/>
      <c r="B148" s="309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1"/>
      <c r="O148" s="310"/>
      <c r="P148" s="311"/>
      <c r="Q148" s="310"/>
      <c r="R148" s="310"/>
      <c r="S148" s="310"/>
      <c r="T148" s="310"/>
      <c r="U148" s="311"/>
      <c r="V148" s="310"/>
      <c r="W148" s="310"/>
      <c r="X148" s="310"/>
      <c r="Y148" s="310"/>
      <c r="Z148" s="311"/>
      <c r="AA148" s="310"/>
      <c r="AB148" s="310"/>
      <c r="AC148" s="310"/>
      <c r="AD148" s="310"/>
      <c r="AE148" s="310"/>
      <c r="AF148" s="310"/>
      <c r="AG148" s="310"/>
      <c r="AH148" s="310"/>
      <c r="AI148" s="310"/>
      <c r="AJ148" s="310"/>
      <c r="AK148" s="311"/>
      <c r="AL148" s="310"/>
      <c r="AM148" s="310"/>
      <c r="AN148" s="311"/>
      <c r="AO148" s="310"/>
      <c r="AP148" s="311"/>
      <c r="AQ148" s="310"/>
      <c r="AR148" s="316"/>
      <c r="AS148" s="310"/>
      <c r="AT148" s="310"/>
      <c r="AU148" s="310"/>
      <c r="AV148" s="310"/>
      <c r="AW148" s="315"/>
      <c r="AX148" s="316"/>
      <c r="AY148" s="316"/>
      <c r="AZ148" s="316"/>
      <c r="BA148" s="316"/>
      <c r="BB148" s="316"/>
      <c r="BC148" s="316"/>
      <c r="BD148" s="316"/>
      <c r="BE148" s="311"/>
      <c r="BF148" s="315"/>
      <c r="BG148" s="316"/>
      <c r="BH148" s="316"/>
      <c r="BI148" s="316"/>
      <c r="BJ148" s="316"/>
      <c r="BK148" s="316"/>
      <c r="BL148" s="316"/>
      <c r="BM148" s="316"/>
      <c r="BN148" s="311"/>
      <c r="BO148" s="310"/>
      <c r="BP148" s="310"/>
      <c r="BQ148" s="310"/>
      <c r="BR148" s="309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</row>
    <row r="149" spans="1:83">
      <c r="A149" s="309"/>
      <c r="B149" s="309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1"/>
      <c r="O149" s="310"/>
      <c r="P149" s="311"/>
      <c r="Q149" s="310"/>
      <c r="R149" s="310"/>
      <c r="S149" s="310"/>
      <c r="T149" s="310"/>
      <c r="U149" s="311"/>
      <c r="V149" s="310"/>
      <c r="W149" s="310"/>
      <c r="X149" s="310"/>
      <c r="Y149" s="310"/>
      <c r="Z149" s="311"/>
      <c r="AA149" s="310"/>
      <c r="AB149" s="310"/>
      <c r="AC149" s="310"/>
      <c r="AD149" s="310"/>
      <c r="AE149" s="310"/>
      <c r="AF149" s="310"/>
      <c r="AG149" s="310"/>
      <c r="AH149" s="310"/>
      <c r="AI149" s="310"/>
      <c r="AJ149" s="310"/>
      <c r="AK149" s="311"/>
      <c r="AL149" s="310"/>
      <c r="AM149" s="310"/>
      <c r="AN149" s="311"/>
      <c r="AO149" s="310"/>
      <c r="AP149" s="311"/>
      <c r="AQ149" s="310"/>
      <c r="AR149" s="316"/>
      <c r="AS149" s="310"/>
      <c r="AT149" s="310"/>
      <c r="AU149" s="310"/>
      <c r="AV149" s="310"/>
      <c r="AW149" s="315"/>
      <c r="AX149" s="316"/>
      <c r="AY149" s="316"/>
      <c r="AZ149" s="316"/>
      <c r="BA149" s="316"/>
      <c r="BB149" s="316"/>
      <c r="BC149" s="316"/>
      <c r="BD149" s="316"/>
      <c r="BE149" s="311"/>
      <c r="BF149" s="315"/>
      <c r="BG149" s="316"/>
      <c r="BH149" s="316"/>
      <c r="BI149" s="316"/>
      <c r="BJ149" s="316"/>
      <c r="BK149" s="316"/>
      <c r="BL149" s="316"/>
      <c r="BM149" s="316"/>
      <c r="BN149" s="311"/>
      <c r="BO149" s="310"/>
      <c r="BP149" s="310"/>
      <c r="BQ149" s="310"/>
      <c r="BR149" s="309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</row>
    <row r="150" spans="1:83">
      <c r="A150" s="309"/>
      <c r="B150" s="309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1"/>
      <c r="O150" s="310"/>
      <c r="P150" s="311"/>
      <c r="Q150" s="310"/>
      <c r="R150" s="310"/>
      <c r="S150" s="310"/>
      <c r="T150" s="310"/>
      <c r="U150" s="311"/>
      <c r="V150" s="310"/>
      <c r="W150" s="310"/>
      <c r="X150" s="310"/>
      <c r="Y150" s="310"/>
      <c r="Z150" s="311"/>
      <c r="AA150" s="310"/>
      <c r="AB150" s="310"/>
      <c r="AC150" s="310"/>
      <c r="AD150" s="310"/>
      <c r="AE150" s="310"/>
      <c r="AF150" s="310"/>
      <c r="AG150" s="310"/>
      <c r="AH150" s="310"/>
      <c r="AI150" s="310"/>
      <c r="AJ150" s="310"/>
      <c r="AK150" s="311"/>
      <c r="AL150" s="310"/>
      <c r="AM150" s="310"/>
      <c r="AN150" s="311"/>
      <c r="AO150" s="310"/>
      <c r="AP150" s="311"/>
      <c r="AQ150" s="310"/>
      <c r="AR150" s="316"/>
      <c r="AS150" s="310"/>
      <c r="AT150" s="310"/>
      <c r="AU150" s="310"/>
      <c r="AV150" s="310"/>
      <c r="AW150" s="315"/>
      <c r="AX150" s="316"/>
      <c r="AY150" s="316"/>
      <c r="AZ150" s="316"/>
      <c r="BA150" s="316"/>
      <c r="BB150" s="316"/>
      <c r="BC150" s="316"/>
      <c r="BD150" s="316"/>
      <c r="BE150" s="311"/>
      <c r="BF150" s="315"/>
      <c r="BG150" s="316"/>
      <c r="BH150" s="316"/>
      <c r="BI150" s="316"/>
      <c r="BJ150" s="316"/>
      <c r="BK150" s="316"/>
      <c r="BL150" s="316"/>
      <c r="BM150" s="316"/>
      <c r="BN150" s="311"/>
      <c r="BO150" s="310"/>
      <c r="BP150" s="310"/>
      <c r="BQ150" s="310"/>
      <c r="BR150" s="309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</row>
    <row r="151" spans="1:83">
      <c r="A151" s="309"/>
      <c r="B151" s="309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1"/>
      <c r="O151" s="310"/>
      <c r="P151" s="311"/>
      <c r="Q151" s="310"/>
      <c r="R151" s="310"/>
      <c r="S151" s="310"/>
      <c r="T151" s="310"/>
      <c r="U151" s="311"/>
      <c r="V151" s="310"/>
      <c r="W151" s="310"/>
      <c r="X151" s="310"/>
      <c r="Y151" s="310"/>
      <c r="Z151" s="311"/>
      <c r="AA151" s="310"/>
      <c r="AB151" s="310"/>
      <c r="AC151" s="310"/>
      <c r="AD151" s="310"/>
      <c r="AE151" s="310"/>
      <c r="AF151" s="310"/>
      <c r="AG151" s="310"/>
      <c r="AH151" s="310"/>
      <c r="AI151" s="310"/>
      <c r="AJ151" s="310"/>
      <c r="AK151" s="311"/>
      <c r="AL151" s="310"/>
      <c r="AM151" s="310"/>
      <c r="AN151" s="311"/>
      <c r="AO151" s="310"/>
      <c r="AP151" s="311"/>
      <c r="AQ151" s="310"/>
      <c r="AR151" s="316"/>
      <c r="AS151" s="310"/>
      <c r="AT151" s="310"/>
      <c r="AU151" s="310"/>
      <c r="AV151" s="310"/>
      <c r="AW151" s="315"/>
      <c r="AX151" s="316"/>
      <c r="AY151" s="316"/>
      <c r="AZ151" s="316"/>
      <c r="BA151" s="316"/>
      <c r="BB151" s="316"/>
      <c r="BC151" s="316"/>
      <c r="BD151" s="316"/>
      <c r="BE151" s="311"/>
      <c r="BF151" s="315"/>
      <c r="BG151" s="316"/>
      <c r="BH151" s="316"/>
      <c r="BI151" s="316"/>
      <c r="BJ151" s="316"/>
      <c r="BK151" s="316"/>
      <c r="BL151" s="316"/>
      <c r="BM151" s="316"/>
      <c r="BN151" s="311"/>
      <c r="BO151" s="310"/>
      <c r="BP151" s="310"/>
      <c r="BQ151" s="310"/>
      <c r="BR151" s="309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</row>
    <row r="152" spans="1:83">
      <c r="A152" s="309"/>
      <c r="B152" s="309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1"/>
      <c r="O152" s="310"/>
      <c r="P152" s="311"/>
      <c r="Q152" s="310"/>
      <c r="R152" s="310"/>
      <c r="S152" s="310"/>
      <c r="T152" s="310"/>
      <c r="U152" s="311"/>
      <c r="V152" s="310"/>
      <c r="W152" s="310"/>
      <c r="X152" s="310"/>
      <c r="Y152" s="310"/>
      <c r="Z152" s="311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1"/>
      <c r="AL152" s="310"/>
      <c r="AM152" s="310"/>
      <c r="AN152" s="311"/>
      <c r="AO152" s="310"/>
      <c r="AP152" s="311"/>
      <c r="AQ152" s="310"/>
      <c r="AR152" s="316"/>
      <c r="AS152" s="310"/>
      <c r="AT152" s="310"/>
      <c r="AU152" s="310"/>
      <c r="AV152" s="310"/>
      <c r="AW152" s="315"/>
      <c r="AX152" s="316"/>
      <c r="AY152" s="316"/>
      <c r="AZ152" s="316"/>
      <c r="BA152" s="316"/>
      <c r="BB152" s="316"/>
      <c r="BC152" s="316"/>
      <c r="BD152" s="316"/>
      <c r="BE152" s="311"/>
      <c r="BF152" s="315"/>
      <c r="BG152" s="316"/>
      <c r="BH152" s="316"/>
      <c r="BI152" s="316"/>
      <c r="BJ152" s="316"/>
      <c r="BK152" s="316"/>
      <c r="BL152" s="316"/>
      <c r="BM152" s="316"/>
      <c r="BN152" s="311"/>
      <c r="BO152" s="310"/>
      <c r="BP152" s="310"/>
      <c r="BQ152" s="310"/>
      <c r="BR152" s="309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</row>
    <row r="153" spans="1:83">
      <c r="A153" s="309"/>
      <c r="B153" s="309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1"/>
      <c r="O153" s="310"/>
      <c r="P153" s="311"/>
      <c r="Q153" s="310"/>
      <c r="R153" s="310"/>
      <c r="S153" s="310"/>
      <c r="T153" s="310"/>
      <c r="U153" s="311"/>
      <c r="V153" s="310"/>
      <c r="W153" s="310"/>
      <c r="X153" s="310"/>
      <c r="Y153" s="310"/>
      <c r="Z153" s="311"/>
      <c r="AA153" s="310"/>
      <c r="AB153" s="310"/>
      <c r="AC153" s="310"/>
      <c r="AD153" s="310"/>
      <c r="AE153" s="310"/>
      <c r="AF153" s="310"/>
      <c r="AG153" s="310"/>
      <c r="AH153" s="310"/>
      <c r="AI153" s="310"/>
      <c r="AJ153" s="310"/>
      <c r="AK153" s="311"/>
      <c r="AL153" s="310"/>
      <c r="AM153" s="310"/>
      <c r="AN153" s="311"/>
      <c r="AO153" s="310"/>
      <c r="AP153" s="311"/>
      <c r="AQ153" s="310"/>
      <c r="AR153" s="316"/>
      <c r="AS153" s="310"/>
      <c r="AT153" s="310"/>
      <c r="AU153" s="310"/>
      <c r="AV153" s="310"/>
      <c r="AW153" s="315"/>
      <c r="AX153" s="316"/>
      <c r="AY153" s="316"/>
      <c r="AZ153" s="316"/>
      <c r="BA153" s="316"/>
      <c r="BB153" s="316"/>
      <c r="BC153" s="316"/>
      <c r="BD153" s="316"/>
      <c r="BE153" s="311"/>
      <c r="BF153" s="315"/>
      <c r="BG153" s="316"/>
      <c r="BH153" s="316"/>
      <c r="BI153" s="316"/>
      <c r="BJ153" s="316"/>
      <c r="BK153" s="316"/>
      <c r="BL153" s="316"/>
      <c r="BM153" s="316"/>
      <c r="BN153" s="311"/>
      <c r="BO153" s="310"/>
      <c r="BP153" s="310"/>
      <c r="BQ153" s="310"/>
      <c r="BR153" s="309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</row>
    <row r="154" spans="1:83">
      <c r="A154" s="309"/>
      <c r="B154" s="309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1"/>
      <c r="O154" s="310"/>
      <c r="P154" s="311"/>
      <c r="Q154" s="310"/>
      <c r="R154" s="310"/>
      <c r="S154" s="310"/>
      <c r="T154" s="310"/>
      <c r="U154" s="311"/>
      <c r="V154" s="310"/>
      <c r="W154" s="310"/>
      <c r="X154" s="310"/>
      <c r="Y154" s="310"/>
      <c r="Z154" s="311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1"/>
      <c r="AL154" s="310"/>
      <c r="AM154" s="310"/>
      <c r="AN154" s="311"/>
      <c r="AO154" s="310"/>
      <c r="AP154" s="311"/>
      <c r="AQ154" s="310"/>
      <c r="AR154" s="316"/>
      <c r="AS154" s="310"/>
      <c r="AT154" s="310"/>
      <c r="AU154" s="310"/>
      <c r="AV154" s="310"/>
      <c r="AW154" s="315"/>
      <c r="AX154" s="316"/>
      <c r="AY154" s="316"/>
      <c r="AZ154" s="316"/>
      <c r="BA154" s="316"/>
      <c r="BB154" s="316"/>
      <c r="BC154" s="316"/>
      <c r="BD154" s="316"/>
      <c r="BE154" s="311"/>
      <c r="BF154" s="315"/>
      <c r="BG154" s="316"/>
      <c r="BH154" s="316"/>
      <c r="BI154" s="316"/>
      <c r="BJ154" s="316"/>
      <c r="BK154" s="316"/>
      <c r="BL154" s="316"/>
      <c r="BM154" s="316"/>
      <c r="BN154" s="311"/>
      <c r="BO154" s="310"/>
      <c r="BP154" s="310"/>
      <c r="BQ154" s="310"/>
      <c r="BR154" s="309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</row>
    <row r="155" spans="1:83">
      <c r="A155" s="309"/>
      <c r="B155" s="309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1"/>
      <c r="O155" s="310"/>
      <c r="P155" s="311"/>
      <c r="Q155" s="310"/>
      <c r="R155" s="310"/>
      <c r="S155" s="310"/>
      <c r="T155" s="310"/>
      <c r="U155" s="311"/>
      <c r="V155" s="310"/>
      <c r="W155" s="310"/>
      <c r="X155" s="310"/>
      <c r="Y155" s="310"/>
      <c r="Z155" s="311"/>
      <c r="AA155" s="310"/>
      <c r="AB155" s="310"/>
      <c r="AC155" s="310"/>
      <c r="AD155" s="310"/>
      <c r="AE155" s="310"/>
      <c r="AF155" s="310"/>
      <c r="AG155" s="310"/>
      <c r="AH155" s="310"/>
      <c r="AI155" s="310"/>
      <c r="AJ155" s="310"/>
      <c r="AK155" s="311"/>
      <c r="AL155" s="310"/>
      <c r="AM155" s="310"/>
      <c r="AN155" s="311"/>
      <c r="AO155" s="310"/>
      <c r="AP155" s="311"/>
      <c r="AQ155" s="310"/>
      <c r="AR155" s="316"/>
      <c r="AS155" s="310"/>
      <c r="AT155" s="310"/>
      <c r="AU155" s="310"/>
      <c r="AV155" s="310"/>
      <c r="AW155" s="315"/>
      <c r="AX155" s="316"/>
      <c r="AY155" s="316"/>
      <c r="AZ155" s="316"/>
      <c r="BA155" s="316"/>
      <c r="BB155" s="316"/>
      <c r="BC155" s="316"/>
      <c r="BD155" s="316"/>
      <c r="BE155" s="311"/>
      <c r="BF155" s="315"/>
      <c r="BG155" s="316"/>
      <c r="BH155" s="316"/>
      <c r="BI155" s="316"/>
      <c r="BJ155" s="316"/>
      <c r="BK155" s="316"/>
      <c r="BL155" s="316"/>
      <c r="BM155" s="316"/>
      <c r="BN155" s="311"/>
      <c r="BO155" s="310"/>
      <c r="BP155" s="310"/>
      <c r="BQ155" s="310"/>
      <c r="BR155" s="309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</row>
    <row r="156" spans="1:83">
      <c r="A156" s="309"/>
      <c r="B156" s="309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1"/>
      <c r="O156" s="310"/>
      <c r="P156" s="311"/>
      <c r="Q156" s="310"/>
      <c r="R156" s="310"/>
      <c r="S156" s="310"/>
      <c r="T156" s="310"/>
      <c r="U156" s="311"/>
      <c r="V156" s="310"/>
      <c r="W156" s="310"/>
      <c r="X156" s="310"/>
      <c r="Y156" s="310"/>
      <c r="Z156" s="311"/>
      <c r="AA156" s="310"/>
      <c r="AB156" s="310"/>
      <c r="AC156" s="310"/>
      <c r="AD156" s="310"/>
      <c r="AE156" s="310"/>
      <c r="AF156" s="310"/>
      <c r="AG156" s="310"/>
      <c r="AH156" s="310"/>
      <c r="AI156" s="310"/>
      <c r="AJ156" s="310"/>
      <c r="AK156" s="311"/>
      <c r="AL156" s="310"/>
      <c r="AM156" s="310"/>
      <c r="AN156" s="311"/>
      <c r="AO156" s="310"/>
      <c r="AP156" s="311"/>
      <c r="AQ156" s="310"/>
      <c r="AR156" s="316"/>
      <c r="AS156" s="310"/>
      <c r="AT156" s="310"/>
      <c r="AU156" s="310"/>
      <c r="AV156" s="310"/>
      <c r="AW156" s="315"/>
      <c r="AX156" s="316"/>
      <c r="AY156" s="316"/>
      <c r="AZ156" s="316"/>
      <c r="BA156" s="316"/>
      <c r="BB156" s="316"/>
      <c r="BC156" s="316"/>
      <c r="BD156" s="316"/>
      <c r="BE156" s="311"/>
      <c r="BF156" s="315"/>
      <c r="BG156" s="316"/>
      <c r="BH156" s="316"/>
      <c r="BI156" s="316"/>
      <c r="BJ156" s="316"/>
      <c r="BK156" s="316"/>
      <c r="BL156" s="316"/>
      <c r="BM156" s="316"/>
      <c r="BN156" s="311"/>
      <c r="BO156" s="310"/>
      <c r="BP156" s="310"/>
      <c r="BQ156" s="310"/>
      <c r="BR156" s="309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</row>
    <row r="157" spans="1:83">
      <c r="A157" s="309"/>
      <c r="B157" s="309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1"/>
      <c r="O157" s="310"/>
      <c r="P157" s="311"/>
      <c r="Q157" s="310"/>
      <c r="R157" s="310"/>
      <c r="S157" s="310"/>
      <c r="T157" s="310"/>
      <c r="U157" s="311"/>
      <c r="V157" s="310"/>
      <c r="W157" s="310"/>
      <c r="X157" s="310"/>
      <c r="Y157" s="310"/>
      <c r="Z157" s="311"/>
      <c r="AA157" s="310"/>
      <c r="AB157" s="310"/>
      <c r="AC157" s="310"/>
      <c r="AD157" s="310"/>
      <c r="AE157" s="310"/>
      <c r="AF157" s="310"/>
      <c r="AG157" s="310"/>
      <c r="AH157" s="310"/>
      <c r="AI157" s="310"/>
      <c r="AJ157" s="310"/>
      <c r="AK157" s="311"/>
      <c r="AL157" s="310"/>
      <c r="AM157" s="310"/>
      <c r="AN157" s="311"/>
      <c r="AO157" s="310"/>
      <c r="AP157" s="311"/>
      <c r="AQ157" s="310"/>
      <c r="AR157" s="316"/>
      <c r="AS157" s="310"/>
      <c r="AT157" s="310"/>
      <c r="AU157" s="310"/>
      <c r="AV157" s="310"/>
      <c r="AW157" s="315"/>
      <c r="AX157" s="316"/>
      <c r="AY157" s="316"/>
      <c r="AZ157" s="316"/>
      <c r="BA157" s="316"/>
      <c r="BB157" s="316"/>
      <c r="BC157" s="316"/>
      <c r="BD157" s="316"/>
      <c r="BE157" s="311"/>
      <c r="BF157" s="315"/>
      <c r="BG157" s="316"/>
      <c r="BH157" s="316"/>
      <c r="BI157" s="316"/>
      <c r="BJ157" s="316"/>
      <c r="BK157" s="316"/>
      <c r="BL157" s="316"/>
      <c r="BM157" s="316"/>
      <c r="BN157" s="311"/>
      <c r="BO157" s="310"/>
      <c r="BP157" s="310"/>
      <c r="BQ157" s="310"/>
      <c r="BR157" s="309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</row>
    <row r="158" spans="1:83">
      <c r="A158" s="309"/>
      <c r="B158" s="309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1"/>
      <c r="O158" s="310"/>
      <c r="P158" s="311"/>
      <c r="Q158" s="310"/>
      <c r="R158" s="310"/>
      <c r="S158" s="310"/>
      <c r="T158" s="310"/>
      <c r="U158" s="311"/>
      <c r="V158" s="310"/>
      <c r="W158" s="310"/>
      <c r="X158" s="310"/>
      <c r="Y158" s="310"/>
      <c r="Z158" s="311"/>
      <c r="AA158" s="310"/>
      <c r="AB158" s="310"/>
      <c r="AC158" s="310"/>
      <c r="AD158" s="310"/>
      <c r="AE158" s="310"/>
      <c r="AF158" s="310"/>
      <c r="AG158" s="310"/>
      <c r="AH158" s="310"/>
      <c r="AI158" s="310"/>
      <c r="AJ158" s="310"/>
      <c r="AK158" s="311"/>
      <c r="AL158" s="310"/>
      <c r="AM158" s="310"/>
      <c r="AN158" s="311"/>
      <c r="AO158" s="310"/>
      <c r="AP158" s="311"/>
      <c r="AQ158" s="310"/>
      <c r="AR158" s="316"/>
      <c r="AS158" s="310"/>
      <c r="AT158" s="310"/>
      <c r="AU158" s="310"/>
      <c r="AV158" s="310"/>
      <c r="AW158" s="315"/>
      <c r="AX158" s="316"/>
      <c r="AY158" s="316"/>
      <c r="AZ158" s="316"/>
      <c r="BA158" s="316"/>
      <c r="BB158" s="316"/>
      <c r="BC158" s="316"/>
      <c r="BD158" s="316"/>
      <c r="BE158" s="311"/>
      <c r="BF158" s="315"/>
      <c r="BG158" s="316"/>
      <c r="BH158" s="316"/>
      <c r="BI158" s="316"/>
      <c r="BJ158" s="316"/>
      <c r="BK158" s="316"/>
      <c r="BL158" s="316"/>
      <c r="BM158" s="316"/>
      <c r="BN158" s="311"/>
      <c r="BO158" s="310"/>
      <c r="BP158" s="310"/>
      <c r="BQ158" s="310"/>
      <c r="BR158" s="309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</row>
    <row r="159" spans="1:83">
      <c r="A159" s="309"/>
      <c r="B159" s="309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1"/>
      <c r="O159" s="310"/>
      <c r="P159" s="311"/>
      <c r="Q159" s="310"/>
      <c r="R159" s="310"/>
      <c r="S159" s="310"/>
      <c r="T159" s="310"/>
      <c r="U159" s="311"/>
      <c r="V159" s="310"/>
      <c r="W159" s="310"/>
      <c r="X159" s="310"/>
      <c r="Y159" s="310"/>
      <c r="Z159" s="311"/>
      <c r="AA159" s="310"/>
      <c r="AB159" s="310"/>
      <c r="AC159" s="310"/>
      <c r="AD159" s="310"/>
      <c r="AE159" s="310"/>
      <c r="AF159" s="310"/>
      <c r="AG159" s="310"/>
      <c r="AH159" s="310"/>
      <c r="AI159" s="310"/>
      <c r="AJ159" s="310"/>
      <c r="AK159" s="311"/>
      <c r="AL159" s="310"/>
      <c r="AM159" s="310"/>
      <c r="AN159" s="311"/>
      <c r="AO159" s="310"/>
      <c r="AP159" s="311"/>
      <c r="AQ159" s="310"/>
      <c r="AR159" s="316"/>
      <c r="AS159" s="310"/>
      <c r="AT159" s="310"/>
      <c r="AU159" s="310"/>
      <c r="AV159" s="310"/>
      <c r="AW159" s="315"/>
      <c r="AX159" s="316"/>
      <c r="AY159" s="316"/>
      <c r="AZ159" s="316"/>
      <c r="BA159" s="316"/>
      <c r="BB159" s="316"/>
      <c r="BC159" s="316"/>
      <c r="BD159" s="316"/>
      <c r="BE159" s="311"/>
      <c r="BF159" s="315"/>
      <c r="BG159" s="316"/>
      <c r="BH159" s="316"/>
      <c r="BI159" s="316"/>
      <c r="BJ159" s="316"/>
      <c r="BK159" s="316"/>
      <c r="BL159" s="316"/>
      <c r="BM159" s="316"/>
      <c r="BN159" s="311"/>
      <c r="BO159" s="310"/>
      <c r="BP159" s="310"/>
      <c r="BQ159" s="310"/>
      <c r="BR159" s="309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</row>
    <row r="160" spans="1:83">
      <c r="A160" s="309"/>
      <c r="B160" s="309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1"/>
      <c r="O160" s="310"/>
      <c r="P160" s="311"/>
      <c r="Q160" s="310"/>
      <c r="R160" s="310"/>
      <c r="S160" s="310"/>
      <c r="T160" s="310"/>
      <c r="U160" s="311"/>
      <c r="V160" s="310"/>
      <c r="W160" s="310"/>
      <c r="X160" s="310"/>
      <c r="Y160" s="310"/>
      <c r="Z160" s="311"/>
      <c r="AA160" s="310"/>
      <c r="AB160" s="310"/>
      <c r="AC160" s="310"/>
      <c r="AD160" s="310"/>
      <c r="AE160" s="310"/>
      <c r="AF160" s="310"/>
      <c r="AG160" s="310"/>
      <c r="AH160" s="310"/>
      <c r="AI160" s="310"/>
      <c r="AJ160" s="310"/>
      <c r="AK160" s="311"/>
      <c r="AL160" s="310"/>
      <c r="AM160" s="310"/>
      <c r="AN160" s="311"/>
      <c r="AO160" s="310"/>
      <c r="AP160" s="311"/>
      <c r="AQ160" s="310"/>
      <c r="AR160" s="316"/>
      <c r="AS160" s="310"/>
      <c r="AT160" s="310"/>
      <c r="AU160" s="310"/>
      <c r="AV160" s="310"/>
      <c r="AW160" s="315"/>
      <c r="AX160" s="316"/>
      <c r="AY160" s="316"/>
      <c r="AZ160" s="316"/>
      <c r="BA160" s="316"/>
      <c r="BB160" s="316"/>
      <c r="BC160" s="316"/>
      <c r="BD160" s="316"/>
      <c r="BE160" s="311"/>
      <c r="BF160" s="315"/>
      <c r="BG160" s="316"/>
      <c r="BH160" s="316"/>
      <c r="BI160" s="316"/>
      <c r="BJ160" s="316"/>
      <c r="BK160" s="316"/>
      <c r="BL160" s="316"/>
      <c r="BM160" s="316"/>
      <c r="BN160" s="311"/>
      <c r="BO160" s="310"/>
      <c r="BP160" s="310"/>
      <c r="BQ160" s="310"/>
      <c r="BR160" s="309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</row>
    <row r="161" spans="1:83">
      <c r="A161" s="309"/>
      <c r="B161" s="309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1"/>
      <c r="O161" s="310"/>
      <c r="P161" s="311"/>
      <c r="Q161" s="310"/>
      <c r="R161" s="310"/>
      <c r="S161" s="310"/>
      <c r="T161" s="310"/>
      <c r="U161" s="311"/>
      <c r="V161" s="310"/>
      <c r="W161" s="310"/>
      <c r="X161" s="310"/>
      <c r="Y161" s="310"/>
      <c r="Z161" s="311"/>
      <c r="AA161" s="310"/>
      <c r="AB161" s="310"/>
      <c r="AC161" s="310"/>
      <c r="AD161" s="310"/>
      <c r="AE161" s="310"/>
      <c r="AF161" s="310"/>
      <c r="AG161" s="310"/>
      <c r="AH161" s="310"/>
      <c r="AI161" s="310"/>
      <c r="AJ161" s="310"/>
      <c r="AK161" s="311"/>
      <c r="AL161" s="310"/>
      <c r="AM161" s="310"/>
      <c r="AN161" s="311"/>
      <c r="AO161" s="310"/>
      <c r="AP161" s="311"/>
      <c r="AQ161" s="310"/>
      <c r="AR161" s="316"/>
      <c r="AS161" s="310"/>
      <c r="AT161" s="310"/>
      <c r="AU161" s="310"/>
      <c r="AV161" s="310"/>
      <c r="AW161" s="315"/>
      <c r="AX161" s="316"/>
      <c r="AY161" s="316"/>
      <c r="AZ161" s="316"/>
      <c r="BA161" s="316"/>
      <c r="BB161" s="316"/>
      <c r="BC161" s="316"/>
      <c r="BD161" s="316"/>
      <c r="BE161" s="311"/>
      <c r="BF161" s="315"/>
      <c r="BG161" s="316"/>
      <c r="BH161" s="316"/>
      <c r="BI161" s="316"/>
      <c r="BJ161" s="316"/>
      <c r="BK161" s="316"/>
      <c r="BL161" s="316"/>
      <c r="BM161" s="316"/>
      <c r="BN161" s="311"/>
      <c r="BO161" s="310"/>
      <c r="BP161" s="310"/>
      <c r="BQ161" s="310"/>
      <c r="BR161" s="309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</row>
    <row r="162" spans="1:83">
      <c r="A162" s="309"/>
      <c r="B162" s="309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1"/>
      <c r="O162" s="310"/>
      <c r="P162" s="311"/>
      <c r="Q162" s="310"/>
      <c r="R162" s="310"/>
      <c r="S162" s="310"/>
      <c r="T162" s="310"/>
      <c r="U162" s="311"/>
      <c r="V162" s="310"/>
      <c r="W162" s="310"/>
      <c r="X162" s="310"/>
      <c r="Y162" s="310"/>
      <c r="Z162" s="311"/>
      <c r="AA162" s="310"/>
      <c r="AB162" s="310"/>
      <c r="AC162" s="310"/>
      <c r="AD162" s="310"/>
      <c r="AE162" s="310"/>
      <c r="AF162" s="310"/>
      <c r="AG162" s="310"/>
      <c r="AH162" s="310"/>
      <c r="AI162" s="310"/>
      <c r="AJ162" s="310"/>
      <c r="AK162" s="311"/>
      <c r="AL162" s="310"/>
      <c r="AM162" s="310"/>
      <c r="AN162" s="311"/>
      <c r="AO162" s="310"/>
      <c r="AP162" s="311"/>
      <c r="AQ162" s="310"/>
      <c r="AR162" s="316"/>
      <c r="AS162" s="310"/>
      <c r="AT162" s="310"/>
      <c r="AU162" s="310"/>
      <c r="AV162" s="310"/>
      <c r="AW162" s="315"/>
      <c r="AX162" s="316"/>
      <c r="AY162" s="316"/>
      <c r="AZ162" s="316"/>
      <c r="BA162" s="316"/>
      <c r="BB162" s="316"/>
      <c r="BC162" s="316"/>
      <c r="BD162" s="316"/>
      <c r="BE162" s="311"/>
      <c r="BF162" s="315"/>
      <c r="BG162" s="316"/>
      <c r="BH162" s="316"/>
      <c r="BI162" s="316"/>
      <c r="BJ162" s="316"/>
      <c r="BK162" s="316"/>
      <c r="BL162" s="316"/>
      <c r="BM162" s="316"/>
      <c r="BN162" s="311"/>
      <c r="BO162" s="310"/>
      <c r="BP162" s="310"/>
      <c r="BQ162" s="310"/>
      <c r="BR162" s="309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</row>
    <row r="163" spans="1:83">
      <c r="A163" s="309"/>
      <c r="B163" s="309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1"/>
      <c r="O163" s="310"/>
      <c r="P163" s="311"/>
      <c r="Q163" s="310"/>
      <c r="R163" s="310"/>
      <c r="S163" s="310"/>
      <c r="T163" s="310"/>
      <c r="U163" s="311"/>
      <c r="V163" s="310"/>
      <c r="W163" s="310"/>
      <c r="X163" s="310"/>
      <c r="Y163" s="310"/>
      <c r="Z163" s="311"/>
      <c r="AA163" s="310"/>
      <c r="AB163" s="310"/>
      <c r="AC163" s="310"/>
      <c r="AD163" s="310"/>
      <c r="AE163" s="310"/>
      <c r="AF163" s="310"/>
      <c r="AG163" s="310"/>
      <c r="AH163" s="310"/>
      <c r="AI163" s="310"/>
      <c r="AJ163" s="310"/>
      <c r="AK163" s="311"/>
      <c r="AL163" s="310"/>
      <c r="AM163" s="310"/>
      <c r="AN163" s="311"/>
      <c r="AO163" s="310"/>
      <c r="AP163" s="311"/>
      <c r="AQ163" s="310"/>
      <c r="AR163" s="316"/>
      <c r="AS163" s="310"/>
      <c r="AT163" s="310"/>
      <c r="AU163" s="310"/>
      <c r="AV163" s="310"/>
      <c r="AW163" s="315"/>
      <c r="AX163" s="316"/>
      <c r="AY163" s="316"/>
      <c r="AZ163" s="316"/>
      <c r="BA163" s="316"/>
      <c r="BB163" s="316"/>
      <c r="BC163" s="316"/>
      <c r="BD163" s="316"/>
      <c r="BE163" s="311"/>
      <c r="BF163" s="315"/>
      <c r="BG163" s="316"/>
      <c r="BH163" s="316"/>
      <c r="BI163" s="316"/>
      <c r="BJ163" s="316"/>
      <c r="BK163" s="316"/>
      <c r="BL163" s="316"/>
      <c r="BM163" s="316"/>
      <c r="BN163" s="311"/>
      <c r="BO163" s="310"/>
      <c r="BP163" s="310"/>
      <c r="BQ163" s="310"/>
      <c r="BR163" s="309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</row>
    <row r="164" spans="1:83">
      <c r="A164" s="309"/>
      <c r="B164" s="309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1"/>
      <c r="O164" s="310"/>
      <c r="P164" s="311"/>
      <c r="Q164" s="310"/>
      <c r="R164" s="310"/>
      <c r="S164" s="310"/>
      <c r="T164" s="310"/>
      <c r="U164" s="311"/>
      <c r="V164" s="310"/>
      <c r="W164" s="310"/>
      <c r="X164" s="310"/>
      <c r="Y164" s="310"/>
      <c r="Z164" s="311"/>
      <c r="AA164" s="310"/>
      <c r="AB164" s="310"/>
      <c r="AC164" s="310"/>
      <c r="AD164" s="310"/>
      <c r="AE164" s="310"/>
      <c r="AF164" s="310"/>
      <c r="AG164" s="310"/>
      <c r="AH164" s="310"/>
      <c r="AI164" s="310"/>
      <c r="AJ164" s="310"/>
      <c r="AK164" s="311"/>
      <c r="AL164" s="310"/>
      <c r="AM164" s="310"/>
      <c r="AN164" s="311"/>
      <c r="AO164" s="310"/>
      <c r="AP164" s="311"/>
      <c r="AQ164" s="310"/>
      <c r="AR164" s="316"/>
      <c r="AS164" s="310"/>
      <c r="AT164" s="310"/>
      <c r="AU164" s="310"/>
      <c r="AV164" s="310"/>
      <c r="AW164" s="315"/>
      <c r="AX164" s="316"/>
      <c r="AY164" s="316"/>
      <c r="AZ164" s="316"/>
      <c r="BA164" s="316"/>
      <c r="BB164" s="316"/>
      <c r="BC164" s="316"/>
      <c r="BD164" s="316"/>
      <c r="BE164" s="311"/>
      <c r="BF164" s="315"/>
      <c r="BG164" s="316"/>
      <c r="BH164" s="316"/>
      <c r="BI164" s="316"/>
      <c r="BJ164" s="316"/>
      <c r="BK164" s="316"/>
      <c r="BL164" s="316"/>
      <c r="BM164" s="316"/>
      <c r="BN164" s="311"/>
      <c r="BO164" s="310"/>
      <c r="BP164" s="310"/>
      <c r="BQ164" s="310"/>
      <c r="BR164" s="309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</row>
    <row r="165" spans="1:83">
      <c r="A165" s="309"/>
      <c r="B165" s="309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1"/>
      <c r="O165" s="310"/>
      <c r="P165" s="311"/>
      <c r="Q165" s="310"/>
      <c r="R165" s="310"/>
      <c r="S165" s="310"/>
      <c r="T165" s="310"/>
      <c r="U165" s="311"/>
      <c r="V165" s="310"/>
      <c r="W165" s="310"/>
      <c r="X165" s="310"/>
      <c r="Y165" s="310"/>
      <c r="Z165" s="311"/>
      <c r="AA165" s="310"/>
      <c r="AB165" s="310"/>
      <c r="AC165" s="310"/>
      <c r="AD165" s="310"/>
      <c r="AE165" s="310"/>
      <c r="AF165" s="310"/>
      <c r="AG165" s="310"/>
      <c r="AH165" s="310"/>
      <c r="AI165" s="310"/>
      <c r="AJ165" s="310"/>
      <c r="AK165" s="311"/>
      <c r="AL165" s="310"/>
      <c r="AM165" s="310"/>
      <c r="AN165" s="311"/>
      <c r="AO165" s="310"/>
      <c r="AP165" s="311"/>
      <c r="AQ165" s="310"/>
      <c r="AR165" s="316"/>
      <c r="AS165" s="310"/>
      <c r="AT165" s="310"/>
      <c r="AU165" s="310"/>
      <c r="AV165" s="310"/>
      <c r="AW165" s="315"/>
      <c r="AX165" s="316"/>
      <c r="AY165" s="316"/>
      <c r="AZ165" s="316"/>
      <c r="BA165" s="316"/>
      <c r="BB165" s="316"/>
      <c r="BC165" s="316"/>
      <c r="BD165" s="316"/>
      <c r="BE165" s="311"/>
      <c r="BF165" s="315"/>
      <c r="BG165" s="316"/>
      <c r="BH165" s="316"/>
      <c r="BI165" s="316"/>
      <c r="BJ165" s="316"/>
      <c r="BK165" s="316"/>
      <c r="BL165" s="316"/>
      <c r="BM165" s="316"/>
      <c r="BN165" s="311"/>
      <c r="BO165" s="310"/>
      <c r="BP165" s="310"/>
      <c r="BQ165" s="310"/>
      <c r="BR165" s="309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</row>
    <row r="166" spans="1:83">
      <c r="A166" s="309"/>
      <c r="B166" s="309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1"/>
      <c r="O166" s="310"/>
      <c r="P166" s="311"/>
      <c r="Q166" s="310"/>
      <c r="R166" s="310"/>
      <c r="S166" s="310"/>
      <c r="T166" s="310"/>
      <c r="U166" s="311"/>
      <c r="V166" s="310"/>
      <c r="W166" s="310"/>
      <c r="X166" s="310"/>
      <c r="Y166" s="310"/>
      <c r="Z166" s="311"/>
      <c r="AA166" s="310"/>
      <c r="AB166" s="310"/>
      <c r="AC166" s="310"/>
      <c r="AD166" s="310"/>
      <c r="AE166" s="310"/>
      <c r="AF166" s="310"/>
      <c r="AG166" s="310"/>
      <c r="AH166" s="310"/>
      <c r="AI166" s="310"/>
      <c r="AJ166" s="310"/>
      <c r="AK166" s="311"/>
      <c r="AL166" s="310"/>
      <c r="AM166" s="310"/>
      <c r="AN166" s="311"/>
      <c r="AO166" s="310"/>
      <c r="AP166" s="311"/>
      <c r="AQ166" s="310"/>
      <c r="AR166" s="316"/>
      <c r="AS166" s="310"/>
      <c r="AT166" s="310"/>
      <c r="AU166" s="310"/>
      <c r="AV166" s="310"/>
      <c r="AW166" s="315"/>
      <c r="AX166" s="316"/>
      <c r="AY166" s="316"/>
      <c r="AZ166" s="316"/>
      <c r="BA166" s="316"/>
      <c r="BB166" s="316"/>
      <c r="BC166" s="316"/>
      <c r="BD166" s="316"/>
      <c r="BE166" s="311"/>
      <c r="BF166" s="315"/>
      <c r="BG166" s="316"/>
      <c r="BH166" s="316"/>
      <c r="BI166" s="316"/>
      <c r="BJ166" s="316"/>
      <c r="BK166" s="316"/>
      <c r="BL166" s="316"/>
      <c r="BM166" s="316"/>
      <c r="BN166" s="311"/>
      <c r="BO166" s="310"/>
      <c r="BP166" s="310"/>
      <c r="BQ166" s="310"/>
      <c r="BR166" s="309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</row>
    <row r="167" spans="1:83">
      <c r="A167" s="309"/>
      <c r="B167" s="309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1"/>
      <c r="O167" s="310"/>
      <c r="P167" s="311"/>
      <c r="Q167" s="310"/>
      <c r="R167" s="310"/>
      <c r="S167" s="310"/>
      <c r="T167" s="310"/>
      <c r="U167" s="311"/>
      <c r="V167" s="310"/>
      <c r="W167" s="310"/>
      <c r="X167" s="310"/>
      <c r="Y167" s="310"/>
      <c r="Z167" s="311"/>
      <c r="AA167" s="310"/>
      <c r="AB167" s="310"/>
      <c r="AC167" s="310"/>
      <c r="AD167" s="310"/>
      <c r="AE167" s="310"/>
      <c r="AF167" s="310"/>
      <c r="AG167" s="310"/>
      <c r="AH167" s="310"/>
      <c r="AI167" s="310"/>
      <c r="AJ167" s="310"/>
      <c r="AK167" s="311"/>
      <c r="AL167" s="310"/>
      <c r="AM167" s="310"/>
      <c r="AN167" s="311"/>
      <c r="AO167" s="310"/>
      <c r="AP167" s="311"/>
      <c r="AQ167" s="310"/>
      <c r="AR167" s="316"/>
      <c r="AS167" s="310"/>
      <c r="AT167" s="310"/>
      <c r="AU167" s="310"/>
      <c r="AV167" s="310"/>
      <c r="AW167" s="315"/>
      <c r="AX167" s="316"/>
      <c r="AY167" s="316"/>
      <c r="AZ167" s="316"/>
      <c r="BA167" s="316"/>
      <c r="BB167" s="316"/>
      <c r="BC167" s="316"/>
      <c r="BD167" s="316"/>
      <c r="BE167" s="311"/>
      <c r="BF167" s="315"/>
      <c r="BG167" s="316"/>
      <c r="BH167" s="316"/>
      <c r="BI167" s="316"/>
      <c r="BJ167" s="316"/>
      <c r="BK167" s="316"/>
      <c r="BL167" s="316"/>
      <c r="BM167" s="316"/>
      <c r="BN167" s="311"/>
      <c r="BO167" s="310"/>
      <c r="BP167" s="310"/>
      <c r="BQ167" s="310"/>
      <c r="BR167" s="309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</row>
    <row r="168" spans="1:83">
      <c r="A168" s="309"/>
      <c r="B168" s="309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1"/>
      <c r="O168" s="310"/>
      <c r="P168" s="311"/>
      <c r="Q168" s="310"/>
      <c r="R168" s="310"/>
      <c r="S168" s="310"/>
      <c r="T168" s="310"/>
      <c r="U168" s="311"/>
      <c r="V168" s="310"/>
      <c r="W168" s="310"/>
      <c r="X168" s="310"/>
      <c r="Y168" s="310"/>
      <c r="Z168" s="311"/>
      <c r="AA168" s="310"/>
      <c r="AB168" s="310"/>
      <c r="AC168" s="310"/>
      <c r="AD168" s="310"/>
      <c r="AE168" s="310"/>
      <c r="AF168" s="310"/>
      <c r="AG168" s="310"/>
      <c r="AH168" s="310"/>
      <c r="AI168" s="310"/>
      <c r="AJ168" s="310"/>
      <c r="AK168" s="311"/>
      <c r="AL168" s="310"/>
      <c r="AM168" s="310"/>
      <c r="AN168" s="311"/>
      <c r="AO168" s="310"/>
      <c r="AP168" s="311"/>
      <c r="AQ168" s="310"/>
      <c r="AR168" s="316"/>
      <c r="AS168" s="310"/>
      <c r="AT168" s="310"/>
      <c r="AU168" s="310"/>
      <c r="AV168" s="310"/>
      <c r="AW168" s="315"/>
      <c r="AX168" s="316"/>
      <c r="AY168" s="316"/>
      <c r="AZ168" s="316"/>
      <c r="BA168" s="316"/>
      <c r="BB168" s="316"/>
      <c r="BC168" s="316"/>
      <c r="BD168" s="316"/>
      <c r="BE168" s="311"/>
      <c r="BF168" s="315"/>
      <c r="BG168" s="316"/>
      <c r="BH168" s="316"/>
      <c r="BI168" s="316"/>
      <c r="BJ168" s="316"/>
      <c r="BK168" s="316"/>
      <c r="BL168" s="316"/>
      <c r="BM168" s="316"/>
      <c r="BN168" s="311"/>
      <c r="BO168" s="310"/>
      <c r="BP168" s="310"/>
      <c r="BQ168" s="310"/>
      <c r="BR168" s="309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</row>
    <row r="169" spans="1:83">
      <c r="A169" s="309"/>
      <c r="B169" s="309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1"/>
      <c r="O169" s="310"/>
      <c r="P169" s="311"/>
      <c r="Q169" s="310"/>
      <c r="R169" s="310"/>
      <c r="S169" s="310"/>
      <c r="T169" s="310"/>
      <c r="U169" s="311"/>
      <c r="V169" s="310"/>
      <c r="W169" s="310"/>
      <c r="X169" s="310"/>
      <c r="Y169" s="310"/>
      <c r="Z169" s="311"/>
      <c r="AA169" s="310"/>
      <c r="AB169" s="310"/>
      <c r="AC169" s="310"/>
      <c r="AD169" s="310"/>
      <c r="AE169" s="310"/>
      <c r="AF169" s="310"/>
      <c r="AG169" s="310"/>
      <c r="AH169" s="310"/>
      <c r="AI169" s="310"/>
      <c r="AJ169" s="310"/>
      <c r="AK169" s="311"/>
      <c r="AL169" s="310"/>
      <c r="AM169" s="310"/>
      <c r="AN169" s="311"/>
      <c r="AO169" s="310"/>
      <c r="AP169" s="311"/>
      <c r="AQ169" s="310"/>
      <c r="AR169" s="316"/>
      <c r="AS169" s="310"/>
      <c r="AT169" s="310"/>
      <c r="AU169" s="310"/>
      <c r="AV169" s="310"/>
      <c r="AW169" s="315"/>
      <c r="AX169" s="316"/>
      <c r="AY169" s="316"/>
      <c r="AZ169" s="316"/>
      <c r="BA169" s="316"/>
      <c r="BB169" s="316"/>
      <c r="BC169" s="316"/>
      <c r="BD169" s="316"/>
      <c r="BE169" s="311"/>
      <c r="BF169" s="315"/>
      <c r="BG169" s="316"/>
      <c r="BH169" s="316"/>
      <c r="BI169" s="316"/>
      <c r="BJ169" s="316"/>
      <c r="BK169" s="316"/>
      <c r="BL169" s="316"/>
      <c r="BM169" s="316"/>
      <c r="BN169" s="311"/>
      <c r="BO169" s="310"/>
      <c r="BP169" s="310"/>
      <c r="BQ169" s="310"/>
      <c r="BR169" s="309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</row>
    <row r="170" spans="1:83">
      <c r="A170" s="309"/>
      <c r="B170" s="309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1"/>
      <c r="O170" s="310"/>
      <c r="P170" s="311"/>
      <c r="Q170" s="310"/>
      <c r="R170" s="310"/>
      <c r="S170" s="310"/>
      <c r="T170" s="310"/>
      <c r="U170" s="311"/>
      <c r="V170" s="310"/>
      <c r="W170" s="310"/>
      <c r="X170" s="310"/>
      <c r="Y170" s="310"/>
      <c r="Z170" s="311"/>
      <c r="AA170" s="310"/>
      <c r="AB170" s="310"/>
      <c r="AC170" s="310"/>
      <c r="AD170" s="310"/>
      <c r="AE170" s="310"/>
      <c r="AF170" s="310"/>
      <c r="AG170" s="310"/>
      <c r="AH170" s="310"/>
      <c r="AI170" s="310"/>
      <c r="AJ170" s="310"/>
      <c r="AK170" s="311"/>
      <c r="AL170" s="310"/>
      <c r="AM170" s="310"/>
      <c r="AN170" s="311"/>
      <c r="AO170" s="310"/>
      <c r="AP170" s="311"/>
      <c r="AQ170" s="310"/>
      <c r="AR170" s="316"/>
      <c r="AS170" s="310"/>
      <c r="AT170" s="310"/>
      <c r="AU170" s="310"/>
      <c r="AV170" s="310"/>
      <c r="AW170" s="315"/>
      <c r="AX170" s="316"/>
      <c r="AY170" s="316"/>
      <c r="AZ170" s="316"/>
      <c r="BA170" s="316"/>
      <c r="BB170" s="316"/>
      <c r="BC170" s="316"/>
      <c r="BD170" s="316"/>
      <c r="BE170" s="311"/>
      <c r="BF170" s="315"/>
      <c r="BG170" s="316"/>
      <c r="BH170" s="316"/>
      <c r="BI170" s="316"/>
      <c r="BJ170" s="316"/>
      <c r="BK170" s="316"/>
      <c r="BL170" s="316"/>
      <c r="BM170" s="316"/>
      <c r="BN170" s="311"/>
      <c r="BO170" s="310"/>
      <c r="BP170" s="310"/>
      <c r="BQ170" s="310"/>
      <c r="BR170" s="309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</row>
    <row r="171" spans="1:83">
      <c r="A171" s="309"/>
      <c r="B171" s="309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1"/>
      <c r="O171" s="310"/>
      <c r="P171" s="311"/>
      <c r="Q171" s="310"/>
      <c r="R171" s="310"/>
      <c r="S171" s="310"/>
      <c r="T171" s="310"/>
      <c r="U171" s="311"/>
      <c r="V171" s="310"/>
      <c r="W171" s="310"/>
      <c r="X171" s="310"/>
      <c r="Y171" s="310"/>
      <c r="Z171" s="311"/>
      <c r="AA171" s="310"/>
      <c r="AB171" s="310"/>
      <c r="AC171" s="310"/>
      <c r="AD171" s="310"/>
      <c r="AE171" s="310"/>
      <c r="AF171" s="310"/>
      <c r="AG171" s="310"/>
      <c r="AH171" s="310"/>
      <c r="AI171" s="310"/>
      <c r="AJ171" s="310"/>
      <c r="AK171" s="311"/>
      <c r="AL171" s="310"/>
      <c r="AM171" s="310"/>
      <c r="AN171" s="311"/>
      <c r="AO171" s="310"/>
      <c r="AP171" s="311"/>
      <c r="AQ171" s="310"/>
      <c r="AR171" s="316"/>
      <c r="AS171" s="310"/>
      <c r="AT171" s="310"/>
      <c r="AU171" s="310"/>
      <c r="AV171" s="310"/>
      <c r="AW171" s="315"/>
      <c r="AX171" s="316"/>
      <c r="AY171" s="316"/>
      <c r="AZ171" s="316"/>
      <c r="BA171" s="316"/>
      <c r="BB171" s="316"/>
      <c r="BC171" s="316"/>
      <c r="BD171" s="316"/>
      <c r="BE171" s="311"/>
      <c r="BF171" s="315"/>
      <c r="BG171" s="316"/>
      <c r="BH171" s="316"/>
      <c r="BI171" s="316"/>
      <c r="BJ171" s="316"/>
      <c r="BK171" s="316"/>
      <c r="BL171" s="316"/>
      <c r="BM171" s="316"/>
      <c r="BN171" s="311"/>
      <c r="BO171" s="310"/>
      <c r="BP171" s="310"/>
      <c r="BQ171" s="310"/>
      <c r="BR171" s="309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</row>
    <row r="172" spans="1:83">
      <c r="A172" s="309"/>
      <c r="B172" s="309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1"/>
      <c r="O172" s="310"/>
      <c r="P172" s="311"/>
      <c r="Q172" s="310"/>
      <c r="R172" s="310"/>
      <c r="S172" s="310"/>
      <c r="T172" s="310"/>
      <c r="U172" s="311"/>
      <c r="V172" s="310"/>
      <c r="W172" s="310"/>
      <c r="X172" s="310"/>
      <c r="Y172" s="310"/>
      <c r="Z172" s="311"/>
      <c r="AA172" s="310"/>
      <c r="AB172" s="310"/>
      <c r="AC172" s="310"/>
      <c r="AD172" s="310"/>
      <c r="AE172" s="310"/>
      <c r="AF172" s="310"/>
      <c r="AG172" s="310"/>
      <c r="AH172" s="310"/>
      <c r="AI172" s="310"/>
      <c r="AJ172" s="310"/>
      <c r="AK172" s="311"/>
      <c r="AL172" s="310"/>
      <c r="AM172" s="310"/>
      <c r="AN172" s="311"/>
      <c r="AO172" s="310"/>
      <c r="AP172" s="311"/>
      <c r="AQ172" s="310"/>
      <c r="AR172" s="316"/>
      <c r="AS172" s="310"/>
      <c r="AT172" s="310"/>
      <c r="AU172" s="310"/>
      <c r="AV172" s="310"/>
      <c r="AW172" s="315"/>
      <c r="AX172" s="316"/>
      <c r="AY172" s="316"/>
      <c r="AZ172" s="316"/>
      <c r="BA172" s="316"/>
      <c r="BB172" s="316"/>
      <c r="BC172" s="316"/>
      <c r="BD172" s="316"/>
      <c r="BE172" s="311"/>
      <c r="BF172" s="315"/>
      <c r="BG172" s="316"/>
      <c r="BH172" s="316"/>
      <c r="BI172" s="316"/>
      <c r="BJ172" s="316"/>
      <c r="BK172" s="316"/>
      <c r="BL172" s="316"/>
      <c r="BM172" s="316"/>
      <c r="BN172" s="311"/>
      <c r="BO172" s="310"/>
      <c r="BP172" s="310"/>
      <c r="BQ172" s="310"/>
      <c r="BR172" s="309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</row>
    <row r="173" spans="1:83">
      <c r="A173" s="309"/>
      <c r="B173" s="309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1"/>
      <c r="O173" s="310"/>
      <c r="P173" s="311"/>
      <c r="Q173" s="310"/>
      <c r="R173" s="310"/>
      <c r="S173" s="310"/>
      <c r="T173" s="310"/>
      <c r="U173" s="311"/>
      <c r="V173" s="310"/>
      <c r="W173" s="310"/>
      <c r="X173" s="310"/>
      <c r="Y173" s="310"/>
      <c r="Z173" s="311"/>
      <c r="AA173" s="310"/>
      <c r="AB173" s="310"/>
      <c r="AC173" s="310"/>
      <c r="AD173" s="310"/>
      <c r="AE173" s="310"/>
      <c r="AF173" s="310"/>
      <c r="AG173" s="310"/>
      <c r="AH173" s="310"/>
      <c r="AI173" s="310"/>
      <c r="AJ173" s="310"/>
      <c r="AK173" s="311"/>
      <c r="AL173" s="310"/>
      <c r="AM173" s="310"/>
      <c r="AN173" s="311"/>
      <c r="AO173" s="310"/>
      <c r="AP173" s="311"/>
      <c r="AQ173" s="310"/>
      <c r="AR173" s="316"/>
      <c r="AS173" s="310"/>
      <c r="AT173" s="310"/>
      <c r="AU173" s="310"/>
      <c r="AV173" s="310"/>
      <c r="AW173" s="315"/>
      <c r="AX173" s="316"/>
      <c r="AY173" s="316"/>
      <c r="AZ173" s="316"/>
      <c r="BA173" s="316"/>
      <c r="BB173" s="316"/>
      <c r="BC173" s="316"/>
      <c r="BD173" s="316"/>
      <c r="BE173" s="311"/>
      <c r="BF173" s="315"/>
      <c r="BG173" s="316"/>
      <c r="BH173" s="316"/>
      <c r="BI173" s="316"/>
      <c r="BJ173" s="316"/>
      <c r="BK173" s="316"/>
      <c r="BL173" s="316"/>
      <c r="BM173" s="316"/>
      <c r="BN173" s="311"/>
      <c r="BO173" s="310"/>
      <c r="BP173" s="310"/>
      <c r="BQ173" s="310"/>
      <c r="BR173" s="309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</row>
    <row r="174" spans="1:83">
      <c r="A174" s="309"/>
      <c r="B174" s="309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1"/>
      <c r="O174" s="310"/>
      <c r="P174" s="311"/>
      <c r="Q174" s="310"/>
      <c r="R174" s="310"/>
      <c r="S174" s="310"/>
      <c r="T174" s="310"/>
      <c r="U174" s="311"/>
      <c r="V174" s="310"/>
      <c r="W174" s="310"/>
      <c r="X174" s="310"/>
      <c r="Y174" s="310"/>
      <c r="Z174" s="311"/>
      <c r="AA174" s="310"/>
      <c r="AB174" s="310"/>
      <c r="AC174" s="310"/>
      <c r="AD174" s="310"/>
      <c r="AE174" s="310"/>
      <c r="AF174" s="310"/>
      <c r="AG174" s="310"/>
      <c r="AH174" s="310"/>
      <c r="AI174" s="310"/>
      <c r="AJ174" s="310"/>
      <c r="AK174" s="311"/>
      <c r="AL174" s="310"/>
      <c r="AM174" s="310"/>
      <c r="AN174" s="311"/>
      <c r="AO174" s="310"/>
      <c r="AP174" s="311"/>
      <c r="AQ174" s="310"/>
      <c r="AR174" s="316"/>
      <c r="AS174" s="310"/>
      <c r="AT174" s="310"/>
      <c r="AU174" s="310"/>
      <c r="AV174" s="310"/>
      <c r="AW174" s="315"/>
      <c r="AX174" s="316"/>
      <c r="AY174" s="316"/>
      <c r="AZ174" s="316"/>
      <c r="BA174" s="316"/>
      <c r="BB174" s="316"/>
      <c r="BC174" s="316"/>
      <c r="BD174" s="316"/>
      <c r="BE174" s="311"/>
      <c r="BF174" s="315"/>
      <c r="BG174" s="316"/>
      <c r="BH174" s="316"/>
      <c r="BI174" s="316"/>
      <c r="BJ174" s="316"/>
      <c r="BK174" s="316"/>
      <c r="BL174" s="316"/>
      <c r="BM174" s="316"/>
      <c r="BN174" s="311"/>
      <c r="BO174" s="310"/>
      <c r="BP174" s="310"/>
      <c r="BQ174" s="310"/>
      <c r="BR174" s="309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</row>
    <row r="175" spans="1:83">
      <c r="A175" s="309"/>
      <c r="B175" s="309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1"/>
      <c r="O175" s="310"/>
      <c r="P175" s="311"/>
      <c r="Q175" s="310"/>
      <c r="R175" s="310"/>
      <c r="S175" s="310"/>
      <c r="T175" s="310"/>
      <c r="U175" s="311"/>
      <c r="V175" s="310"/>
      <c r="W175" s="310"/>
      <c r="X175" s="310"/>
      <c r="Y175" s="310"/>
      <c r="Z175" s="311"/>
      <c r="AA175" s="310"/>
      <c r="AB175" s="310"/>
      <c r="AC175" s="310"/>
      <c r="AD175" s="310"/>
      <c r="AE175" s="310"/>
      <c r="AF175" s="310"/>
      <c r="AG175" s="310"/>
      <c r="AH175" s="310"/>
      <c r="AI175" s="310"/>
      <c r="AJ175" s="310"/>
      <c r="AK175" s="311"/>
      <c r="AL175" s="310"/>
      <c r="AM175" s="310"/>
      <c r="AN175" s="311"/>
      <c r="AO175" s="310"/>
      <c r="AP175" s="311"/>
      <c r="AQ175" s="310"/>
      <c r="AR175" s="316"/>
      <c r="AS175" s="310"/>
      <c r="AT175" s="310"/>
      <c r="AU175" s="310"/>
      <c r="AV175" s="310"/>
      <c r="AW175" s="315"/>
      <c r="AX175" s="316"/>
      <c r="AY175" s="316"/>
      <c r="AZ175" s="316"/>
      <c r="BA175" s="316"/>
      <c r="BB175" s="316"/>
      <c r="BC175" s="316"/>
      <c r="BD175" s="316"/>
      <c r="BE175" s="311"/>
      <c r="BF175" s="315"/>
      <c r="BG175" s="316"/>
      <c r="BH175" s="316"/>
      <c r="BI175" s="316"/>
      <c r="BJ175" s="316"/>
      <c r="BK175" s="316"/>
      <c r="BL175" s="316"/>
      <c r="BM175" s="316"/>
      <c r="BN175" s="311"/>
      <c r="BO175" s="310"/>
      <c r="BP175" s="310"/>
      <c r="BQ175" s="310"/>
      <c r="BR175" s="309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</row>
    <row r="176" spans="1:83">
      <c r="A176" s="309"/>
      <c r="B176" s="309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1"/>
      <c r="O176" s="310"/>
      <c r="P176" s="311"/>
      <c r="Q176" s="310"/>
      <c r="R176" s="310"/>
      <c r="S176" s="310"/>
      <c r="T176" s="310"/>
      <c r="U176" s="311"/>
      <c r="V176" s="310"/>
      <c r="W176" s="310"/>
      <c r="X176" s="310"/>
      <c r="Y176" s="310"/>
      <c r="Z176" s="311"/>
      <c r="AA176" s="310"/>
      <c r="AB176" s="310"/>
      <c r="AC176" s="310"/>
      <c r="AD176" s="310"/>
      <c r="AE176" s="310"/>
      <c r="AF176" s="310"/>
      <c r="AG176" s="310"/>
      <c r="AH176" s="310"/>
      <c r="AI176" s="310"/>
      <c r="AJ176" s="310"/>
      <c r="AK176" s="311"/>
      <c r="AL176" s="310"/>
      <c r="AM176" s="310"/>
      <c r="AN176" s="311"/>
      <c r="AO176" s="310"/>
      <c r="AP176" s="311"/>
      <c r="AQ176" s="310"/>
      <c r="AR176" s="316"/>
      <c r="AS176" s="310"/>
      <c r="AT176" s="310"/>
      <c r="AU176" s="310"/>
      <c r="AV176" s="310"/>
      <c r="AW176" s="315"/>
      <c r="AX176" s="316"/>
      <c r="AY176" s="316"/>
      <c r="AZ176" s="316"/>
      <c r="BA176" s="316"/>
      <c r="BB176" s="316"/>
      <c r="BC176" s="316"/>
      <c r="BD176" s="316"/>
      <c r="BE176" s="311"/>
      <c r="BF176" s="315"/>
      <c r="BG176" s="316"/>
      <c r="BH176" s="316"/>
      <c r="BI176" s="316"/>
      <c r="BJ176" s="316"/>
      <c r="BK176" s="316"/>
      <c r="BL176" s="316"/>
      <c r="BM176" s="316"/>
      <c r="BN176" s="311"/>
      <c r="BO176" s="310"/>
      <c r="BP176" s="310"/>
      <c r="BQ176" s="310"/>
      <c r="BR176" s="309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</row>
    <row r="177" spans="1:83">
      <c r="A177" s="309"/>
      <c r="B177" s="309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1"/>
      <c r="O177" s="310"/>
      <c r="P177" s="311"/>
      <c r="Q177" s="310"/>
      <c r="R177" s="310"/>
      <c r="S177" s="310"/>
      <c r="T177" s="310"/>
      <c r="U177" s="311"/>
      <c r="V177" s="310"/>
      <c r="W177" s="310"/>
      <c r="X177" s="310"/>
      <c r="Y177" s="310"/>
      <c r="Z177" s="311"/>
      <c r="AA177" s="310"/>
      <c r="AB177" s="310"/>
      <c r="AC177" s="310"/>
      <c r="AD177" s="310"/>
      <c r="AE177" s="310"/>
      <c r="AF177" s="310"/>
      <c r="AG177" s="310"/>
      <c r="AH177" s="310"/>
      <c r="AI177" s="310"/>
      <c r="AJ177" s="310"/>
      <c r="AK177" s="311"/>
      <c r="AL177" s="310"/>
      <c r="AM177" s="310"/>
      <c r="AN177" s="311"/>
      <c r="AO177" s="310"/>
      <c r="AP177" s="311"/>
      <c r="AQ177" s="310"/>
      <c r="AR177" s="316"/>
      <c r="AS177" s="310"/>
      <c r="AT177" s="310"/>
      <c r="AU177" s="310"/>
      <c r="AV177" s="310"/>
      <c r="AW177" s="315"/>
      <c r="AX177" s="316"/>
      <c r="AY177" s="316"/>
      <c r="AZ177" s="316"/>
      <c r="BA177" s="316"/>
      <c r="BB177" s="316"/>
      <c r="BC177" s="316"/>
      <c r="BD177" s="316"/>
      <c r="BE177" s="311"/>
      <c r="BF177" s="315"/>
      <c r="BG177" s="316"/>
      <c r="BH177" s="316"/>
      <c r="BI177" s="316"/>
      <c r="BJ177" s="316"/>
      <c r="BK177" s="316"/>
      <c r="BL177" s="316"/>
      <c r="BM177" s="316"/>
      <c r="BN177" s="311"/>
      <c r="BO177" s="310"/>
      <c r="BP177" s="310"/>
      <c r="BQ177" s="310"/>
      <c r="BR177" s="309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</row>
    <row r="178" spans="1:83">
      <c r="A178" s="309"/>
      <c r="B178" s="309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1"/>
      <c r="O178" s="310"/>
      <c r="P178" s="311"/>
      <c r="Q178" s="310"/>
      <c r="R178" s="310"/>
      <c r="S178" s="310"/>
      <c r="T178" s="310"/>
      <c r="U178" s="311"/>
      <c r="V178" s="310"/>
      <c r="W178" s="310"/>
      <c r="X178" s="310"/>
      <c r="Y178" s="310"/>
      <c r="Z178" s="311"/>
      <c r="AA178" s="310"/>
      <c r="AB178" s="310"/>
      <c r="AC178" s="310"/>
      <c r="AD178" s="310"/>
      <c r="AE178" s="310"/>
      <c r="AF178" s="310"/>
      <c r="AG178" s="310"/>
      <c r="AH178" s="310"/>
      <c r="AI178" s="310"/>
      <c r="AJ178" s="310"/>
      <c r="AK178" s="311"/>
      <c r="AL178" s="310"/>
      <c r="AM178" s="310"/>
      <c r="AN178" s="311"/>
      <c r="AO178" s="310"/>
      <c r="AP178" s="311"/>
      <c r="AQ178" s="310"/>
      <c r="AR178" s="316"/>
      <c r="AS178" s="310"/>
      <c r="AT178" s="310"/>
      <c r="AU178" s="310"/>
      <c r="AV178" s="310"/>
      <c r="AW178" s="315"/>
      <c r="AX178" s="316"/>
      <c r="AY178" s="316"/>
      <c r="AZ178" s="316"/>
      <c r="BA178" s="316"/>
      <c r="BB178" s="316"/>
      <c r="BC178" s="316"/>
      <c r="BD178" s="316"/>
      <c r="BE178" s="311"/>
      <c r="BF178" s="315"/>
      <c r="BG178" s="316"/>
      <c r="BH178" s="316"/>
      <c r="BI178" s="316"/>
      <c r="BJ178" s="316"/>
      <c r="BK178" s="316"/>
      <c r="BL178" s="316"/>
      <c r="BM178" s="316"/>
      <c r="BN178" s="311"/>
      <c r="BO178" s="310"/>
      <c r="BP178" s="310"/>
      <c r="BQ178" s="310"/>
      <c r="BR178" s="309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</row>
    <row r="179" spans="1:83">
      <c r="A179" s="309"/>
      <c r="B179" s="309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1"/>
      <c r="O179" s="310"/>
      <c r="P179" s="311"/>
      <c r="Q179" s="310"/>
      <c r="R179" s="310"/>
      <c r="S179" s="310"/>
      <c r="T179" s="310"/>
      <c r="U179" s="311"/>
      <c r="V179" s="310"/>
      <c r="W179" s="310"/>
      <c r="X179" s="310"/>
      <c r="Y179" s="310"/>
      <c r="Z179" s="311"/>
      <c r="AA179" s="310"/>
      <c r="AB179" s="310"/>
      <c r="AC179" s="310"/>
      <c r="AD179" s="310"/>
      <c r="AE179" s="310"/>
      <c r="AF179" s="310"/>
      <c r="AG179" s="310"/>
      <c r="AH179" s="310"/>
      <c r="AI179" s="310"/>
      <c r="AJ179" s="310"/>
      <c r="AK179" s="311"/>
      <c r="AL179" s="310"/>
      <c r="AM179" s="310"/>
      <c r="AN179" s="311"/>
      <c r="AO179" s="310"/>
      <c r="AP179" s="311"/>
      <c r="AQ179" s="310"/>
      <c r="AR179" s="316"/>
      <c r="AS179" s="310"/>
      <c r="AT179" s="310"/>
      <c r="AU179" s="310"/>
      <c r="AV179" s="310"/>
      <c r="AW179" s="315"/>
      <c r="AX179" s="316"/>
      <c r="AY179" s="316"/>
      <c r="AZ179" s="316"/>
      <c r="BA179" s="316"/>
      <c r="BB179" s="316"/>
      <c r="BC179" s="316"/>
      <c r="BD179" s="316"/>
      <c r="BE179" s="311"/>
      <c r="BF179" s="315"/>
      <c r="BG179" s="316"/>
      <c r="BH179" s="316"/>
      <c r="BI179" s="316"/>
      <c r="BJ179" s="316"/>
      <c r="BK179" s="316"/>
      <c r="BL179" s="316"/>
      <c r="BM179" s="316"/>
      <c r="BN179" s="311"/>
      <c r="BO179" s="310"/>
      <c r="BP179" s="310"/>
      <c r="BQ179" s="310"/>
      <c r="BR179" s="309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</row>
    <row r="180" spans="1:83">
      <c r="A180" s="309"/>
      <c r="B180" s="309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1"/>
      <c r="O180" s="310"/>
      <c r="P180" s="311"/>
      <c r="Q180" s="310"/>
      <c r="R180" s="310"/>
      <c r="S180" s="310"/>
      <c r="T180" s="310"/>
      <c r="U180" s="311"/>
      <c r="V180" s="310"/>
      <c r="W180" s="310"/>
      <c r="X180" s="310"/>
      <c r="Y180" s="310"/>
      <c r="Z180" s="311"/>
      <c r="AA180" s="310"/>
      <c r="AB180" s="310"/>
      <c r="AC180" s="310"/>
      <c r="AD180" s="310"/>
      <c r="AE180" s="310"/>
      <c r="AF180" s="310"/>
      <c r="AG180" s="310"/>
      <c r="AH180" s="310"/>
      <c r="AI180" s="310"/>
      <c r="AJ180" s="310"/>
      <c r="AK180" s="311"/>
      <c r="AL180" s="310"/>
      <c r="AM180" s="310"/>
      <c r="AN180" s="311"/>
      <c r="AO180" s="310"/>
      <c r="AP180" s="311"/>
      <c r="AQ180" s="310"/>
      <c r="AR180" s="316"/>
      <c r="AS180" s="310"/>
      <c r="AT180" s="310"/>
      <c r="AU180" s="310"/>
      <c r="AV180" s="310"/>
      <c r="AW180" s="315"/>
      <c r="AX180" s="316"/>
      <c r="AY180" s="316"/>
      <c r="AZ180" s="316"/>
      <c r="BA180" s="316"/>
      <c r="BB180" s="316"/>
      <c r="BC180" s="316"/>
      <c r="BD180" s="316"/>
      <c r="BE180" s="311"/>
      <c r="BF180" s="315"/>
      <c r="BG180" s="316"/>
      <c r="BH180" s="316"/>
      <c r="BI180" s="316"/>
      <c r="BJ180" s="316"/>
      <c r="BK180" s="316"/>
      <c r="BL180" s="316"/>
      <c r="BM180" s="316"/>
      <c r="BN180" s="311"/>
      <c r="BO180" s="310"/>
      <c r="BP180" s="310"/>
      <c r="BQ180" s="310"/>
      <c r="BR180" s="309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</row>
    <row r="181" spans="1:83">
      <c r="A181" s="309"/>
      <c r="B181" s="309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1"/>
      <c r="O181" s="310"/>
      <c r="P181" s="311"/>
      <c r="Q181" s="310"/>
      <c r="R181" s="310"/>
      <c r="S181" s="310"/>
      <c r="T181" s="310"/>
      <c r="U181" s="311"/>
      <c r="V181" s="310"/>
      <c r="W181" s="310"/>
      <c r="X181" s="310"/>
      <c r="Y181" s="310"/>
      <c r="Z181" s="311"/>
      <c r="AA181" s="310"/>
      <c r="AB181" s="310"/>
      <c r="AC181" s="310"/>
      <c r="AD181" s="310"/>
      <c r="AE181" s="310"/>
      <c r="AF181" s="310"/>
      <c r="AG181" s="310"/>
      <c r="AH181" s="310"/>
      <c r="AI181" s="310"/>
      <c r="AJ181" s="310"/>
      <c r="AK181" s="311"/>
      <c r="AL181" s="310"/>
      <c r="AM181" s="310"/>
      <c r="AN181" s="311"/>
      <c r="AO181" s="310"/>
      <c r="AP181" s="311"/>
      <c r="AQ181" s="310"/>
      <c r="AR181" s="316"/>
      <c r="AS181" s="310"/>
      <c r="AT181" s="310"/>
      <c r="AU181" s="310"/>
      <c r="AV181" s="310"/>
      <c r="AW181" s="315"/>
      <c r="AX181" s="316"/>
      <c r="AY181" s="316"/>
      <c r="AZ181" s="316"/>
      <c r="BA181" s="316"/>
      <c r="BB181" s="316"/>
      <c r="BC181" s="316"/>
      <c r="BD181" s="316"/>
      <c r="BE181" s="311"/>
      <c r="BF181" s="315"/>
      <c r="BG181" s="316"/>
      <c r="BH181" s="316"/>
      <c r="BI181" s="316"/>
      <c r="BJ181" s="316"/>
      <c r="BK181" s="316"/>
      <c r="BL181" s="316"/>
      <c r="BM181" s="316"/>
      <c r="BN181" s="311"/>
      <c r="BO181" s="310"/>
      <c r="BP181" s="310"/>
      <c r="BQ181" s="310"/>
      <c r="BR181" s="309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</row>
    <row r="182" spans="1:83">
      <c r="A182" s="309"/>
      <c r="B182" s="309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1"/>
      <c r="O182" s="310"/>
      <c r="P182" s="311"/>
      <c r="Q182" s="310"/>
      <c r="R182" s="310"/>
      <c r="S182" s="310"/>
      <c r="T182" s="310"/>
      <c r="U182" s="311"/>
      <c r="V182" s="310"/>
      <c r="W182" s="310"/>
      <c r="X182" s="310"/>
      <c r="Y182" s="310"/>
      <c r="Z182" s="311"/>
      <c r="AA182" s="310"/>
      <c r="AB182" s="310"/>
      <c r="AC182" s="310"/>
      <c r="AD182" s="310"/>
      <c r="AE182" s="310"/>
      <c r="AF182" s="310"/>
      <c r="AG182" s="310"/>
      <c r="AH182" s="310"/>
      <c r="AI182" s="310"/>
      <c r="AJ182" s="310"/>
      <c r="AK182" s="311"/>
      <c r="AL182" s="310"/>
      <c r="AM182" s="310"/>
      <c r="AN182" s="311"/>
      <c r="AO182" s="310"/>
      <c r="AP182" s="311"/>
      <c r="AQ182" s="310"/>
      <c r="AR182" s="316"/>
      <c r="AS182" s="310"/>
      <c r="AT182" s="310"/>
      <c r="AU182" s="310"/>
      <c r="AV182" s="310"/>
      <c r="AW182" s="315"/>
      <c r="AX182" s="316"/>
      <c r="AY182" s="316"/>
      <c r="AZ182" s="316"/>
      <c r="BA182" s="316"/>
      <c r="BB182" s="316"/>
      <c r="BC182" s="316"/>
      <c r="BD182" s="316"/>
      <c r="BE182" s="311"/>
      <c r="BF182" s="315"/>
      <c r="BG182" s="316"/>
      <c r="BH182" s="316"/>
      <c r="BI182" s="316"/>
      <c r="BJ182" s="316"/>
      <c r="BK182" s="316"/>
      <c r="BL182" s="316"/>
      <c r="BM182" s="316"/>
      <c r="BN182" s="311"/>
      <c r="BO182" s="310"/>
      <c r="BP182" s="310"/>
      <c r="BQ182" s="310"/>
      <c r="BR182" s="309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</row>
    <row r="183" spans="1:83">
      <c r="A183" s="309"/>
      <c r="B183" s="309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1"/>
      <c r="O183" s="310"/>
      <c r="P183" s="311"/>
      <c r="Q183" s="310"/>
      <c r="R183" s="310"/>
      <c r="S183" s="310"/>
      <c r="T183" s="310"/>
      <c r="U183" s="311"/>
      <c r="V183" s="310"/>
      <c r="W183" s="310"/>
      <c r="X183" s="310"/>
      <c r="Y183" s="310"/>
      <c r="Z183" s="311"/>
      <c r="AA183" s="310"/>
      <c r="AB183" s="310"/>
      <c r="AC183" s="310"/>
      <c r="AD183" s="310"/>
      <c r="AE183" s="310"/>
      <c r="AF183" s="310"/>
      <c r="AG183" s="310"/>
      <c r="AH183" s="310"/>
      <c r="AI183" s="310"/>
      <c r="AJ183" s="310"/>
      <c r="AK183" s="311"/>
      <c r="AL183" s="310"/>
      <c r="AM183" s="310"/>
      <c r="AN183" s="311"/>
      <c r="AO183" s="310"/>
      <c r="AP183" s="311"/>
      <c r="AQ183" s="310"/>
      <c r="AR183" s="316"/>
      <c r="AS183" s="310"/>
      <c r="AT183" s="310"/>
      <c r="AU183" s="310"/>
      <c r="AV183" s="310"/>
      <c r="AW183" s="315"/>
      <c r="AX183" s="316"/>
      <c r="AY183" s="316"/>
      <c r="AZ183" s="316"/>
      <c r="BA183" s="316"/>
      <c r="BB183" s="316"/>
      <c r="BC183" s="316"/>
      <c r="BD183" s="316"/>
      <c r="BE183" s="311"/>
      <c r="BF183" s="315"/>
      <c r="BG183" s="316"/>
      <c r="BH183" s="316"/>
      <c r="BI183" s="316"/>
      <c r="BJ183" s="316"/>
      <c r="BK183" s="316"/>
      <c r="BL183" s="316"/>
      <c r="BM183" s="316"/>
      <c r="BN183" s="311"/>
      <c r="BO183" s="310"/>
      <c r="BP183" s="310"/>
      <c r="BQ183" s="310"/>
      <c r="BR183" s="309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</row>
    <row r="184" spans="1:83">
      <c r="A184" s="309"/>
      <c r="B184" s="309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1"/>
      <c r="O184" s="310"/>
      <c r="P184" s="311"/>
      <c r="Q184" s="310"/>
      <c r="R184" s="310"/>
      <c r="S184" s="310"/>
      <c r="T184" s="310"/>
      <c r="U184" s="311"/>
      <c r="V184" s="310"/>
      <c r="W184" s="310"/>
      <c r="X184" s="310"/>
      <c r="Y184" s="310"/>
      <c r="Z184" s="311"/>
      <c r="AA184" s="310"/>
      <c r="AB184" s="310"/>
      <c r="AC184" s="310"/>
      <c r="AD184" s="310"/>
      <c r="AE184" s="310"/>
      <c r="AF184" s="310"/>
      <c r="AG184" s="310"/>
      <c r="AH184" s="310"/>
      <c r="AI184" s="310"/>
      <c r="AJ184" s="310"/>
      <c r="AK184" s="311"/>
      <c r="AL184" s="310"/>
      <c r="AM184" s="310"/>
      <c r="AN184" s="311"/>
      <c r="AO184" s="310"/>
      <c r="AP184" s="311"/>
      <c r="AQ184" s="310"/>
      <c r="AR184" s="316"/>
      <c r="AS184" s="310"/>
      <c r="AT184" s="310"/>
      <c r="AU184" s="310"/>
      <c r="AV184" s="310"/>
      <c r="AW184" s="315"/>
      <c r="AX184" s="316"/>
      <c r="AY184" s="316"/>
      <c r="AZ184" s="316"/>
      <c r="BA184" s="316"/>
      <c r="BB184" s="316"/>
      <c r="BC184" s="316"/>
      <c r="BD184" s="316"/>
      <c r="BE184" s="311"/>
      <c r="BF184" s="315"/>
      <c r="BG184" s="316"/>
      <c r="BH184" s="316"/>
      <c r="BI184" s="316"/>
      <c r="BJ184" s="316"/>
      <c r="BK184" s="316"/>
      <c r="BL184" s="316"/>
      <c r="BM184" s="316"/>
      <c r="BN184" s="311"/>
      <c r="BO184" s="310"/>
      <c r="BP184" s="310"/>
      <c r="BQ184" s="310"/>
      <c r="BR184" s="309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</row>
    <row r="185" spans="1:83">
      <c r="A185" s="309"/>
      <c r="B185" s="309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1"/>
      <c r="O185" s="310"/>
      <c r="P185" s="311"/>
      <c r="Q185" s="310"/>
      <c r="R185" s="310"/>
      <c r="S185" s="310"/>
      <c r="T185" s="310"/>
      <c r="U185" s="311"/>
      <c r="V185" s="310"/>
      <c r="W185" s="310"/>
      <c r="X185" s="310"/>
      <c r="Y185" s="310"/>
      <c r="Z185" s="311"/>
      <c r="AA185" s="310"/>
      <c r="AB185" s="310"/>
      <c r="AC185" s="310"/>
      <c r="AD185" s="310"/>
      <c r="AE185" s="310"/>
      <c r="AF185" s="310"/>
      <c r="AG185" s="310"/>
      <c r="AH185" s="310"/>
      <c r="AI185" s="310"/>
      <c r="AJ185" s="310"/>
      <c r="AK185" s="311"/>
      <c r="AL185" s="310"/>
      <c r="AM185" s="310"/>
      <c r="AN185" s="311"/>
      <c r="AO185" s="310"/>
      <c r="AP185" s="311"/>
      <c r="AQ185" s="310"/>
      <c r="AR185" s="316"/>
      <c r="AS185" s="310"/>
      <c r="AT185" s="310"/>
      <c r="AU185" s="310"/>
      <c r="AV185" s="310"/>
      <c r="AW185" s="315"/>
      <c r="AX185" s="316"/>
      <c r="AY185" s="316"/>
      <c r="AZ185" s="316"/>
      <c r="BA185" s="316"/>
      <c r="BB185" s="316"/>
      <c r="BC185" s="316"/>
      <c r="BD185" s="316"/>
      <c r="BE185" s="311"/>
      <c r="BF185" s="315"/>
      <c r="BG185" s="316"/>
      <c r="BH185" s="316"/>
      <c r="BI185" s="316"/>
      <c r="BJ185" s="316"/>
      <c r="BK185" s="316"/>
      <c r="BL185" s="316"/>
      <c r="BM185" s="316"/>
      <c r="BN185" s="311"/>
      <c r="BO185" s="310"/>
      <c r="BP185" s="310"/>
      <c r="BQ185" s="310"/>
      <c r="BR185" s="309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</row>
    <row r="186" spans="1:83">
      <c r="A186" s="309"/>
      <c r="B186" s="309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1"/>
      <c r="O186" s="310"/>
      <c r="P186" s="311"/>
      <c r="Q186" s="310"/>
      <c r="R186" s="310"/>
      <c r="S186" s="310"/>
      <c r="T186" s="310"/>
      <c r="U186" s="311"/>
      <c r="V186" s="310"/>
      <c r="W186" s="310"/>
      <c r="X186" s="310"/>
      <c r="Y186" s="310"/>
      <c r="Z186" s="311"/>
      <c r="AA186" s="310"/>
      <c r="AB186" s="310"/>
      <c r="AC186" s="310"/>
      <c r="AD186" s="310"/>
      <c r="AE186" s="310"/>
      <c r="AF186" s="310"/>
      <c r="AG186" s="310"/>
      <c r="AH186" s="310"/>
      <c r="AI186" s="310"/>
      <c r="AJ186" s="310"/>
      <c r="AK186" s="311"/>
      <c r="AL186" s="310"/>
      <c r="AM186" s="310"/>
      <c r="AN186" s="311"/>
      <c r="AO186" s="310"/>
      <c r="AP186" s="311"/>
      <c r="AQ186" s="310"/>
      <c r="AR186" s="316"/>
      <c r="AS186" s="310"/>
      <c r="AT186" s="310"/>
      <c r="AU186" s="310"/>
      <c r="AV186" s="310"/>
      <c r="AW186" s="315"/>
      <c r="AX186" s="316"/>
      <c r="AY186" s="316"/>
      <c r="AZ186" s="316"/>
      <c r="BA186" s="316"/>
      <c r="BB186" s="316"/>
      <c r="BC186" s="316"/>
      <c r="BD186" s="316"/>
      <c r="BE186" s="311"/>
      <c r="BF186" s="315"/>
      <c r="BG186" s="316"/>
      <c r="BH186" s="316"/>
      <c r="BI186" s="316"/>
      <c r="BJ186" s="316"/>
      <c r="BK186" s="316"/>
      <c r="BL186" s="316"/>
      <c r="BM186" s="316"/>
      <c r="BN186" s="311"/>
      <c r="BO186" s="310"/>
      <c r="BP186" s="310"/>
      <c r="BQ186" s="310"/>
      <c r="BR186" s="309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</row>
    <row r="187" spans="1:83">
      <c r="A187" s="309"/>
      <c r="B187" s="309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1"/>
      <c r="O187" s="310"/>
      <c r="P187" s="311"/>
      <c r="Q187" s="310"/>
      <c r="R187" s="310"/>
      <c r="S187" s="310"/>
      <c r="T187" s="310"/>
      <c r="U187" s="311"/>
      <c r="V187" s="310"/>
      <c r="W187" s="310"/>
      <c r="X187" s="310"/>
      <c r="Y187" s="310"/>
      <c r="Z187" s="311"/>
      <c r="AA187" s="310"/>
      <c r="AB187" s="310"/>
      <c r="AC187" s="310"/>
      <c r="AD187" s="310"/>
      <c r="AE187" s="310"/>
      <c r="AF187" s="310"/>
      <c r="AG187" s="310"/>
      <c r="AH187" s="310"/>
      <c r="AI187" s="310"/>
      <c r="AJ187" s="310"/>
      <c r="AK187" s="311"/>
      <c r="AL187" s="310"/>
      <c r="AM187" s="310"/>
      <c r="AN187" s="311"/>
      <c r="AO187" s="310"/>
      <c r="AP187" s="311"/>
      <c r="AQ187" s="310"/>
      <c r="AR187" s="316"/>
      <c r="AS187" s="310"/>
      <c r="AT187" s="310"/>
      <c r="AU187" s="310"/>
      <c r="AV187" s="310"/>
      <c r="AW187" s="315"/>
      <c r="AX187" s="316"/>
      <c r="AY187" s="316"/>
      <c r="AZ187" s="316"/>
      <c r="BA187" s="316"/>
      <c r="BB187" s="316"/>
      <c r="BC187" s="316"/>
      <c r="BD187" s="316"/>
      <c r="BE187" s="311"/>
      <c r="BF187" s="315"/>
      <c r="BG187" s="316"/>
      <c r="BH187" s="316"/>
      <c r="BI187" s="316"/>
      <c r="BJ187" s="316"/>
      <c r="BK187" s="316"/>
      <c r="BL187" s="316"/>
      <c r="BM187" s="316"/>
      <c r="BN187" s="311"/>
      <c r="BO187" s="310"/>
      <c r="BP187" s="310"/>
      <c r="BQ187" s="310"/>
      <c r="BR187" s="309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</row>
    <row r="188" spans="1:83">
      <c r="A188" s="309"/>
      <c r="B188" s="309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1"/>
      <c r="O188" s="310"/>
      <c r="P188" s="311"/>
      <c r="Q188" s="310"/>
      <c r="R188" s="310"/>
      <c r="S188" s="310"/>
      <c r="T188" s="310"/>
      <c r="U188" s="311"/>
      <c r="V188" s="310"/>
      <c r="W188" s="310"/>
      <c r="X188" s="310"/>
      <c r="Y188" s="310"/>
      <c r="Z188" s="311"/>
      <c r="AA188" s="310"/>
      <c r="AB188" s="310"/>
      <c r="AC188" s="310"/>
      <c r="AD188" s="310"/>
      <c r="AE188" s="310"/>
      <c r="AF188" s="310"/>
      <c r="AG188" s="310"/>
      <c r="AH188" s="310"/>
      <c r="AI188" s="310"/>
      <c r="AJ188" s="310"/>
      <c r="AK188" s="311"/>
      <c r="AL188" s="310"/>
      <c r="AM188" s="310"/>
      <c r="AN188" s="311"/>
      <c r="AO188" s="310"/>
      <c r="AP188" s="311"/>
      <c r="AQ188" s="310"/>
      <c r="AR188" s="316"/>
      <c r="AS188" s="310"/>
      <c r="AT188" s="310"/>
      <c r="AU188" s="310"/>
      <c r="AV188" s="310"/>
      <c r="AW188" s="315"/>
      <c r="AX188" s="316"/>
      <c r="AY188" s="316"/>
      <c r="AZ188" s="316"/>
      <c r="BA188" s="316"/>
      <c r="BB188" s="316"/>
      <c r="BC188" s="316"/>
      <c r="BD188" s="316"/>
      <c r="BE188" s="311"/>
      <c r="BF188" s="315"/>
      <c r="BG188" s="316"/>
      <c r="BH188" s="316"/>
      <c r="BI188" s="316"/>
      <c r="BJ188" s="316"/>
      <c r="BK188" s="316"/>
      <c r="BL188" s="316"/>
      <c r="BM188" s="316"/>
      <c r="BN188" s="311"/>
      <c r="BO188" s="310"/>
      <c r="BP188" s="310"/>
      <c r="BQ188" s="310"/>
      <c r="BR188" s="309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</row>
    <row r="189" spans="1:83">
      <c r="A189" s="309"/>
      <c r="B189" s="309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1"/>
      <c r="O189" s="310"/>
      <c r="P189" s="311"/>
      <c r="Q189" s="310"/>
      <c r="R189" s="310"/>
      <c r="S189" s="310"/>
      <c r="T189" s="310"/>
      <c r="U189" s="311"/>
      <c r="V189" s="310"/>
      <c r="W189" s="310"/>
      <c r="X189" s="310"/>
      <c r="Y189" s="310"/>
      <c r="Z189" s="311"/>
      <c r="AA189" s="310"/>
      <c r="AB189" s="310"/>
      <c r="AC189" s="310"/>
      <c r="AD189" s="310"/>
      <c r="AE189" s="310"/>
      <c r="AF189" s="310"/>
      <c r="AG189" s="310"/>
      <c r="AH189" s="310"/>
      <c r="AI189" s="310"/>
      <c r="AJ189" s="310"/>
      <c r="AK189" s="311"/>
      <c r="AL189" s="310"/>
      <c r="AM189" s="310"/>
      <c r="AN189" s="311"/>
      <c r="AO189" s="310"/>
      <c r="AP189" s="311"/>
      <c r="AQ189" s="310"/>
      <c r="AR189" s="316"/>
      <c r="AS189" s="310"/>
      <c r="AT189" s="310"/>
      <c r="AU189" s="310"/>
      <c r="AV189" s="310"/>
      <c r="AW189" s="315"/>
      <c r="AX189" s="316"/>
      <c r="AY189" s="316"/>
      <c r="AZ189" s="316"/>
      <c r="BA189" s="316"/>
      <c r="BB189" s="316"/>
      <c r="BC189" s="316"/>
      <c r="BD189" s="316"/>
      <c r="BE189" s="311"/>
      <c r="BF189" s="315"/>
      <c r="BG189" s="316"/>
      <c r="BH189" s="316"/>
      <c r="BI189" s="316"/>
      <c r="BJ189" s="316"/>
      <c r="BK189" s="316"/>
      <c r="BL189" s="316"/>
      <c r="BM189" s="316"/>
      <c r="BN189" s="311"/>
      <c r="BO189" s="310"/>
      <c r="BP189" s="310"/>
      <c r="BQ189" s="310"/>
      <c r="BR189" s="309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</row>
    <row r="190" spans="1:83">
      <c r="A190" s="309"/>
      <c r="B190" s="309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1"/>
      <c r="O190" s="310"/>
      <c r="P190" s="311"/>
      <c r="Q190" s="310"/>
      <c r="R190" s="310"/>
      <c r="S190" s="310"/>
      <c r="T190" s="310"/>
      <c r="U190" s="311"/>
      <c r="V190" s="310"/>
      <c r="W190" s="310"/>
      <c r="X190" s="310"/>
      <c r="Y190" s="310"/>
      <c r="Z190" s="311"/>
      <c r="AA190" s="310"/>
      <c r="AB190" s="310"/>
      <c r="AC190" s="310"/>
      <c r="AD190" s="310"/>
      <c r="AE190" s="310"/>
      <c r="AF190" s="310"/>
      <c r="AG190" s="310"/>
      <c r="AH190" s="310"/>
      <c r="AI190" s="310"/>
      <c r="AJ190" s="310"/>
      <c r="AK190" s="311"/>
      <c r="AL190" s="310"/>
      <c r="AM190" s="310"/>
      <c r="AN190" s="311"/>
      <c r="AO190" s="310"/>
      <c r="AP190" s="311"/>
      <c r="AQ190" s="310"/>
      <c r="AR190" s="316"/>
      <c r="AS190" s="310"/>
      <c r="AT190" s="310"/>
      <c r="AU190" s="310"/>
      <c r="AV190" s="310"/>
      <c r="AW190" s="315"/>
      <c r="AX190" s="316"/>
      <c r="AY190" s="316"/>
      <c r="AZ190" s="316"/>
      <c r="BA190" s="316"/>
      <c r="BB190" s="316"/>
      <c r="BC190" s="316"/>
      <c r="BD190" s="316"/>
      <c r="BE190" s="311"/>
      <c r="BF190" s="315"/>
      <c r="BG190" s="316"/>
      <c r="BH190" s="316"/>
      <c r="BI190" s="316"/>
      <c r="BJ190" s="316"/>
      <c r="BK190" s="316"/>
      <c r="BL190" s="316"/>
      <c r="BM190" s="316"/>
      <c r="BN190" s="311"/>
      <c r="BO190" s="310"/>
      <c r="BP190" s="310"/>
      <c r="BQ190" s="310"/>
      <c r="BR190" s="309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</row>
    <row r="191" spans="1:83">
      <c r="A191" s="309"/>
      <c r="B191" s="309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1"/>
      <c r="O191" s="310"/>
      <c r="P191" s="311"/>
      <c r="Q191" s="310"/>
      <c r="R191" s="310"/>
      <c r="S191" s="310"/>
      <c r="T191" s="310"/>
      <c r="U191" s="311"/>
      <c r="V191" s="310"/>
      <c r="W191" s="310"/>
      <c r="X191" s="310"/>
      <c r="Y191" s="310"/>
      <c r="Z191" s="311"/>
      <c r="AA191" s="310"/>
      <c r="AB191" s="310"/>
      <c r="AC191" s="310"/>
      <c r="AD191" s="310"/>
      <c r="AE191" s="310"/>
      <c r="AF191" s="310"/>
      <c r="AG191" s="310"/>
      <c r="AH191" s="310"/>
      <c r="AI191" s="310"/>
      <c r="AJ191" s="310"/>
      <c r="AK191" s="311"/>
      <c r="AL191" s="310"/>
      <c r="AM191" s="310"/>
      <c r="AN191" s="311"/>
      <c r="AO191" s="310"/>
      <c r="AP191" s="311"/>
      <c r="AQ191" s="310"/>
      <c r="AR191" s="316"/>
      <c r="AS191" s="310"/>
      <c r="AT191" s="310"/>
      <c r="AU191" s="310"/>
      <c r="AV191" s="310"/>
      <c r="AW191" s="315"/>
      <c r="AX191" s="316"/>
      <c r="AY191" s="316"/>
      <c r="AZ191" s="316"/>
      <c r="BA191" s="316"/>
      <c r="BB191" s="316"/>
      <c r="BC191" s="316"/>
      <c r="BD191" s="316"/>
      <c r="BE191" s="311"/>
      <c r="BF191" s="315"/>
      <c r="BG191" s="316"/>
      <c r="BH191" s="316"/>
      <c r="BI191" s="316"/>
      <c r="BJ191" s="316"/>
      <c r="BK191" s="316"/>
      <c r="BL191" s="316"/>
      <c r="BM191" s="316"/>
      <c r="BN191" s="311"/>
      <c r="BO191" s="310"/>
      <c r="BP191" s="310"/>
      <c r="BQ191" s="310"/>
      <c r="BR191" s="309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</row>
    <row r="192" spans="1:83">
      <c r="A192" s="309"/>
      <c r="B192" s="309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1"/>
      <c r="O192" s="310"/>
      <c r="P192" s="311"/>
      <c r="Q192" s="310"/>
      <c r="R192" s="310"/>
      <c r="S192" s="310"/>
      <c r="T192" s="310"/>
      <c r="U192" s="311"/>
      <c r="V192" s="310"/>
      <c r="W192" s="310"/>
      <c r="X192" s="310"/>
      <c r="Y192" s="310"/>
      <c r="Z192" s="311"/>
      <c r="AA192" s="310"/>
      <c r="AB192" s="310"/>
      <c r="AC192" s="310"/>
      <c r="AD192" s="310"/>
      <c r="AE192" s="310"/>
      <c r="AF192" s="310"/>
      <c r="AG192" s="310"/>
      <c r="AH192" s="310"/>
      <c r="AI192" s="310"/>
      <c r="AJ192" s="310"/>
      <c r="AK192" s="311"/>
      <c r="AL192" s="310"/>
      <c r="AM192" s="310"/>
      <c r="AN192" s="311"/>
      <c r="AO192" s="310"/>
      <c r="AP192" s="311"/>
      <c r="AQ192" s="310"/>
      <c r="AR192" s="316"/>
      <c r="AS192" s="310"/>
      <c r="AT192" s="310"/>
      <c r="AU192" s="310"/>
      <c r="AV192" s="310"/>
      <c r="AW192" s="315"/>
      <c r="AX192" s="316"/>
      <c r="AY192" s="316"/>
      <c r="AZ192" s="316"/>
      <c r="BA192" s="316"/>
      <c r="BB192" s="316"/>
      <c r="BC192" s="316"/>
      <c r="BD192" s="316"/>
      <c r="BE192" s="311"/>
      <c r="BF192" s="315"/>
      <c r="BG192" s="316"/>
      <c r="BH192" s="316"/>
      <c r="BI192" s="316"/>
      <c r="BJ192" s="316"/>
      <c r="BK192" s="316"/>
      <c r="BL192" s="316"/>
      <c r="BM192" s="316"/>
      <c r="BN192" s="311"/>
      <c r="BO192" s="310"/>
      <c r="BP192" s="310"/>
      <c r="BQ192" s="310"/>
      <c r="BR192" s="309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</row>
    <row r="193" spans="1:83">
      <c r="A193" s="309"/>
      <c r="B193" s="309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1"/>
      <c r="O193" s="310"/>
      <c r="P193" s="311"/>
      <c r="Q193" s="310"/>
      <c r="R193" s="310"/>
      <c r="S193" s="310"/>
      <c r="T193" s="310"/>
      <c r="U193" s="311"/>
      <c r="V193" s="310"/>
      <c r="W193" s="310"/>
      <c r="X193" s="310"/>
      <c r="Y193" s="310"/>
      <c r="Z193" s="311"/>
      <c r="AA193" s="310"/>
      <c r="AB193" s="310"/>
      <c r="AC193" s="310"/>
      <c r="AD193" s="310"/>
      <c r="AE193" s="310"/>
      <c r="AF193" s="310"/>
      <c r="AG193" s="310"/>
      <c r="AH193" s="310"/>
      <c r="AI193" s="310"/>
      <c r="AJ193" s="310"/>
      <c r="AK193" s="311"/>
      <c r="AL193" s="310"/>
      <c r="AM193" s="310"/>
      <c r="AN193" s="311"/>
      <c r="AO193" s="310"/>
      <c r="AP193" s="311"/>
      <c r="AQ193" s="310"/>
      <c r="AR193" s="316"/>
      <c r="AS193" s="310"/>
      <c r="AT193" s="310"/>
      <c r="AU193" s="310"/>
      <c r="AV193" s="310"/>
      <c r="AW193" s="315"/>
      <c r="AX193" s="316"/>
      <c r="AY193" s="316"/>
      <c r="AZ193" s="316"/>
      <c r="BA193" s="316"/>
      <c r="BB193" s="316"/>
      <c r="BC193" s="316"/>
      <c r="BD193" s="316"/>
      <c r="BE193" s="311"/>
      <c r="BF193" s="315"/>
      <c r="BG193" s="316"/>
      <c r="BH193" s="316"/>
      <c r="BI193" s="316"/>
      <c r="BJ193" s="316"/>
      <c r="BK193" s="316"/>
      <c r="BL193" s="316"/>
      <c r="BM193" s="316"/>
      <c r="BN193" s="311"/>
      <c r="BO193" s="310"/>
      <c r="BP193" s="310"/>
      <c r="BQ193" s="310"/>
      <c r="BR193" s="309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</row>
    <row r="194" spans="1:83">
      <c r="A194" s="309"/>
      <c r="B194" s="309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1"/>
      <c r="O194" s="310"/>
      <c r="P194" s="311"/>
      <c r="Q194" s="310"/>
      <c r="R194" s="310"/>
      <c r="S194" s="310"/>
      <c r="T194" s="310"/>
      <c r="U194" s="311"/>
      <c r="V194" s="310"/>
      <c r="W194" s="310"/>
      <c r="X194" s="310"/>
      <c r="Y194" s="310"/>
      <c r="Z194" s="311"/>
      <c r="AA194" s="310"/>
      <c r="AB194" s="310"/>
      <c r="AC194" s="310"/>
      <c r="AD194" s="310"/>
      <c r="AE194" s="310"/>
      <c r="AF194" s="310"/>
      <c r="AG194" s="310"/>
      <c r="AH194" s="310"/>
      <c r="AI194" s="310"/>
      <c r="AJ194" s="310"/>
      <c r="AK194" s="311"/>
      <c r="AL194" s="310"/>
      <c r="AM194" s="310"/>
      <c r="AN194" s="311"/>
      <c r="AO194" s="310"/>
      <c r="AP194" s="311"/>
      <c r="AQ194" s="310"/>
      <c r="AR194" s="316"/>
      <c r="AS194" s="310"/>
      <c r="AT194" s="310"/>
      <c r="AU194" s="310"/>
      <c r="AV194" s="310"/>
      <c r="AW194" s="315"/>
      <c r="AX194" s="316"/>
      <c r="AY194" s="316"/>
      <c r="AZ194" s="316"/>
      <c r="BA194" s="316"/>
      <c r="BB194" s="316"/>
      <c r="BC194" s="316"/>
      <c r="BD194" s="316"/>
      <c r="BE194" s="311"/>
      <c r="BF194" s="315"/>
      <c r="BG194" s="316"/>
      <c r="BH194" s="316"/>
      <c r="BI194" s="316"/>
      <c r="BJ194" s="316"/>
      <c r="BK194" s="316"/>
      <c r="BL194" s="316"/>
      <c r="BM194" s="316"/>
      <c r="BN194" s="311"/>
      <c r="BO194" s="310"/>
      <c r="BP194" s="310"/>
      <c r="BQ194" s="310"/>
      <c r="BR194" s="309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</row>
    <row r="195" spans="1:83">
      <c r="A195" s="309"/>
      <c r="B195" s="309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1"/>
      <c r="O195" s="310"/>
      <c r="P195" s="311"/>
      <c r="Q195" s="310"/>
      <c r="R195" s="310"/>
      <c r="S195" s="310"/>
      <c r="T195" s="310"/>
      <c r="U195" s="311"/>
      <c r="V195" s="310"/>
      <c r="W195" s="310"/>
      <c r="X195" s="310"/>
      <c r="Y195" s="310"/>
      <c r="Z195" s="311"/>
      <c r="AA195" s="310"/>
      <c r="AB195" s="310"/>
      <c r="AC195" s="310"/>
      <c r="AD195" s="310"/>
      <c r="AE195" s="310"/>
      <c r="AF195" s="310"/>
      <c r="AG195" s="310"/>
      <c r="AH195" s="310"/>
      <c r="AI195" s="310"/>
      <c r="AJ195" s="310"/>
      <c r="AK195" s="311"/>
      <c r="AL195" s="310"/>
      <c r="AM195" s="310"/>
      <c r="AN195" s="311"/>
      <c r="AO195" s="310"/>
      <c r="AP195" s="311"/>
      <c r="AQ195" s="310"/>
      <c r="AR195" s="316"/>
      <c r="AS195" s="310"/>
      <c r="AT195" s="310"/>
      <c r="AU195" s="310"/>
      <c r="AV195" s="310"/>
      <c r="AW195" s="315"/>
      <c r="AX195" s="316"/>
      <c r="AY195" s="316"/>
      <c r="AZ195" s="316"/>
      <c r="BA195" s="316"/>
      <c r="BB195" s="316"/>
      <c r="BC195" s="316"/>
      <c r="BD195" s="316"/>
      <c r="BE195" s="311"/>
      <c r="BF195" s="315"/>
      <c r="BG195" s="316"/>
      <c r="BH195" s="316"/>
      <c r="BI195" s="316"/>
      <c r="BJ195" s="316"/>
      <c r="BK195" s="316"/>
      <c r="BL195" s="316"/>
      <c r="BM195" s="316"/>
      <c r="BN195" s="311"/>
      <c r="BO195" s="310"/>
      <c r="BP195" s="310"/>
      <c r="BQ195" s="310"/>
      <c r="BR195" s="309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</row>
    <row r="196" spans="1:83">
      <c r="A196" s="309"/>
      <c r="B196" s="309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1"/>
      <c r="O196" s="310"/>
      <c r="P196" s="311"/>
      <c r="Q196" s="310"/>
      <c r="R196" s="310"/>
      <c r="S196" s="310"/>
      <c r="T196" s="310"/>
      <c r="U196" s="311"/>
      <c r="V196" s="310"/>
      <c r="W196" s="310"/>
      <c r="X196" s="310"/>
      <c r="Y196" s="310"/>
      <c r="Z196" s="311"/>
      <c r="AA196" s="310"/>
      <c r="AB196" s="310"/>
      <c r="AC196" s="310"/>
      <c r="AD196" s="310"/>
      <c r="AE196" s="310"/>
      <c r="AF196" s="310"/>
      <c r="AG196" s="310"/>
      <c r="AH196" s="310"/>
      <c r="AI196" s="310"/>
      <c r="AJ196" s="310"/>
      <c r="AK196" s="311"/>
      <c r="AL196" s="310"/>
      <c r="AM196" s="310"/>
      <c r="AN196" s="311"/>
      <c r="AO196" s="310"/>
      <c r="AP196" s="311"/>
      <c r="AQ196" s="310"/>
      <c r="AR196" s="316"/>
      <c r="AS196" s="310"/>
      <c r="AT196" s="310"/>
      <c r="AU196" s="310"/>
      <c r="AV196" s="310"/>
      <c r="AW196" s="315"/>
      <c r="AX196" s="316"/>
      <c r="AY196" s="316"/>
      <c r="AZ196" s="316"/>
      <c r="BA196" s="316"/>
      <c r="BB196" s="316"/>
      <c r="BC196" s="316"/>
      <c r="BD196" s="316"/>
      <c r="BE196" s="311"/>
      <c r="BF196" s="315"/>
      <c r="BG196" s="316"/>
      <c r="BH196" s="316"/>
      <c r="BI196" s="316"/>
      <c r="BJ196" s="316"/>
      <c r="BK196" s="316"/>
      <c r="BL196" s="316"/>
      <c r="BM196" s="316"/>
      <c r="BN196" s="311"/>
      <c r="BO196" s="310"/>
      <c r="BP196" s="310"/>
      <c r="BQ196" s="310"/>
      <c r="BR196" s="309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</row>
    <row r="197" spans="1:83">
      <c r="A197" s="309"/>
      <c r="B197" s="309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1"/>
      <c r="O197" s="310"/>
      <c r="P197" s="311"/>
      <c r="Q197" s="310"/>
      <c r="R197" s="310"/>
      <c r="S197" s="310"/>
      <c r="T197" s="310"/>
      <c r="U197" s="311"/>
      <c r="V197" s="310"/>
      <c r="W197" s="310"/>
      <c r="X197" s="310"/>
      <c r="Y197" s="310"/>
      <c r="Z197" s="311"/>
      <c r="AA197" s="310"/>
      <c r="AB197" s="310"/>
      <c r="AC197" s="310"/>
      <c r="AD197" s="310"/>
      <c r="AE197" s="310"/>
      <c r="AF197" s="310"/>
      <c r="AG197" s="310"/>
      <c r="AH197" s="310"/>
      <c r="AI197" s="310"/>
      <c r="AJ197" s="310"/>
      <c r="AK197" s="311"/>
      <c r="AL197" s="310"/>
      <c r="AM197" s="310"/>
      <c r="AN197" s="311"/>
      <c r="AO197" s="310"/>
      <c r="AP197" s="311"/>
      <c r="AQ197" s="310"/>
      <c r="AR197" s="316"/>
      <c r="AS197" s="310"/>
      <c r="AT197" s="310"/>
      <c r="AU197" s="310"/>
      <c r="AV197" s="310"/>
      <c r="AW197" s="315"/>
      <c r="AX197" s="316"/>
      <c r="AY197" s="316"/>
      <c r="AZ197" s="316"/>
      <c r="BA197" s="316"/>
      <c r="BB197" s="316"/>
      <c r="BC197" s="316"/>
      <c r="BD197" s="316"/>
      <c r="BE197" s="311"/>
      <c r="BF197" s="315"/>
      <c r="BG197" s="316"/>
      <c r="BH197" s="316"/>
      <c r="BI197" s="316"/>
      <c r="BJ197" s="316"/>
      <c r="BK197" s="316"/>
      <c r="BL197" s="316"/>
      <c r="BM197" s="316"/>
      <c r="BN197" s="311"/>
      <c r="BO197" s="310"/>
      <c r="BP197" s="310"/>
      <c r="BQ197" s="310"/>
      <c r="BR197" s="309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</row>
  </sheetData>
  <autoFilter ref="A10:CN92"/>
  <sortState ref="A11:CE93">
    <sortCondition ref="A11:A93" customList="ML,AAA,AA,A,S A"/>
    <sortCondition ref="B11:B93" customList="C,C-b,1B,1B-b,2B,2B-b,3B,3B-b,SS,SS-b,IF-b,CI,MI,LF,LF-b,CF,CF-b,RF,RF-b,OF,OF-b,DH"/>
    <sortCondition descending="1" ref="AQ11:AQ93"/>
    <sortCondition descending="1" ref="AS11:AS93"/>
    <sortCondition descending="1" ref="BT11:BT93"/>
    <sortCondition descending="1" ref="V11:V93"/>
    <sortCondition descending="1" ref="X11:X93"/>
    <sortCondition ref="G11:G93"/>
  </sortState>
  <phoneticPr fontId="2" type="noConversion"/>
  <conditionalFormatting sqref="M11:N197">
    <cfRule type="expression" dxfId="117" priority="2">
      <formula>IF(M11&lt;&gt;"1 star",1,0)</formula>
    </cfRule>
  </conditionalFormatting>
  <conditionalFormatting sqref="A11:XFD197">
    <cfRule type="expression" dxfId="116" priority="3">
      <formula>IF(MOD(ROW(),2)=1,1,0)</formula>
    </cfRule>
  </conditionalFormatting>
  <conditionalFormatting sqref="A11:CD197">
    <cfRule type="expression" dxfId="115" priority="5">
      <formula>IF(AND($CB11&lt;12,$CC11&lt;10,$CD11&lt;10),1,0)</formula>
    </cfRule>
    <cfRule type="expression" dxfId="114" priority="9">
      <formula>IF(AND($CB11&lt;15,$CC11&lt;12,$CD11&lt;12),1,0)</formula>
    </cfRule>
    <cfRule type="expression" dxfId="113" priority="10">
      <formula>IF(AND($CB11&lt;18,$CC11&lt;14,$CD11&lt;14),1,0)</formula>
    </cfRule>
  </conditionalFormatting>
  <conditionalFormatting sqref="A80:E81 A83:E83 A92:E92 A90:E90 A86:E88">
    <cfRule type="expression" dxfId="112" priority="20">
      <formula>IF(AND($CB78&lt;12,$CC78&lt;10,$CD78&lt;10),1,0)</formula>
    </cfRule>
    <cfRule type="expression" dxfId="111" priority="21">
      <formula>IF(AND($CB78&lt;15,$CC78&lt;12,$CD78&lt;12),1,0)</formula>
    </cfRule>
    <cfRule type="expression" dxfId="110" priority="22">
      <formula>IF(AND($CB78&lt;18,$CC78&lt;14,$CD78&lt;14),1,0)</formula>
    </cfRule>
  </conditionalFormatting>
  <conditionalFormatting sqref="A78:E78">
    <cfRule type="expression" dxfId="109" priority="43">
      <formula>IF(AND(#REF!&lt;12,#REF!&lt;10,#REF!&lt;10),1,0)</formula>
    </cfRule>
    <cfRule type="expression" dxfId="108" priority="44">
      <formula>IF(AND(#REF!&lt;15,#REF!&lt;12,#REF!&lt;12),1,0)</formula>
    </cfRule>
    <cfRule type="expression" dxfId="107" priority="45">
      <formula>IF(AND(#REF!&lt;18,#REF!&lt;14,#REF!&lt;14),1,0)</formula>
    </cfRule>
  </conditionalFormatting>
  <conditionalFormatting sqref="A85:E85">
    <cfRule type="expression" dxfId="106" priority="56">
      <formula>IF(AND(#REF!&lt;12,#REF!&lt;10,#REF!&lt;10),1,0)</formula>
    </cfRule>
    <cfRule type="expression" dxfId="105" priority="57">
      <formula>IF(AND(#REF!&lt;15,#REF!&lt;12,#REF!&lt;12),1,0)</formula>
    </cfRule>
    <cfRule type="expression" dxfId="104" priority="58">
      <formula>IF(AND(#REF!&lt;18,#REF!&lt;14,#REF!&lt;14),1,0)</formula>
    </cfRule>
  </conditionalFormatting>
  <pageMargins left="0.75" right="0.75" top="1" bottom="1" header="0.5" footer="0.5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published="0" codeName="Sheet6" enableFormatConditionsCalculation="0">
    <tabColor theme="9"/>
  </sheetPr>
  <dimension ref="A1:BQ199"/>
  <sheetViews>
    <sheetView zoomScale="85" zoomScaleNormal="85" workbookViewId="0">
      <pane xSplit="20" ySplit="10" topLeftCell="U59" activePane="bottomRight" state="frozenSplit"/>
      <selection pane="topRight" activeCell="H1" sqref="H1"/>
      <selection pane="bottomLeft" activeCell="A11" sqref="A11"/>
      <selection pane="bottomRight" activeCell="C77" sqref="C77"/>
    </sheetView>
  </sheetViews>
  <sheetFormatPr defaultColWidth="11.42578125" defaultRowHeight="15"/>
  <cols>
    <col min="1" max="1" width="6.140625" bestFit="1" customWidth="1"/>
    <col min="2" max="2" width="7.5703125" bestFit="1" customWidth="1"/>
    <col min="3" max="3" width="6.5703125" bestFit="1" customWidth="1"/>
    <col min="4" max="4" width="5.85546875" bestFit="1" customWidth="1"/>
    <col min="5" max="5" width="29" customWidth="1"/>
    <col min="6" max="6" width="6.5703125" bestFit="1" customWidth="1"/>
    <col min="7" max="7" width="6.140625" bestFit="1" customWidth="1"/>
    <col min="8" max="8" width="7" bestFit="1" customWidth="1"/>
    <col min="9" max="9" width="5" bestFit="1" customWidth="1"/>
    <col min="10" max="10" width="4.85546875" style="3" bestFit="1" customWidth="1"/>
    <col min="11" max="11" width="7.5703125" bestFit="1" customWidth="1"/>
    <col min="12" max="12" width="7.140625" bestFit="1" customWidth="1"/>
    <col min="13" max="13" width="9.7109375" bestFit="1" customWidth="1"/>
    <col min="14" max="14" width="9.7109375" style="3" bestFit="1" customWidth="1"/>
    <col min="15" max="15" width="7.140625" bestFit="1" customWidth="1"/>
    <col min="16" max="16" width="8" bestFit="1" customWidth="1"/>
    <col min="17" max="17" width="7.5703125" style="3" bestFit="1" customWidth="1"/>
    <col min="18" max="18" width="8.7109375" bestFit="1" customWidth="1"/>
    <col min="19" max="19" width="9.5703125" bestFit="1" customWidth="1"/>
    <col min="20" max="20" width="9" style="3" bestFit="1" customWidth="1"/>
    <col min="21" max="43" width="6.7109375" customWidth="1"/>
    <col min="44" max="44" width="6.7109375" style="3" customWidth="1"/>
    <col min="45" max="45" width="10.42578125" bestFit="1" customWidth="1"/>
    <col min="46" max="46" width="7.5703125" bestFit="1" customWidth="1"/>
    <col min="47" max="47" width="7" style="3" bestFit="1" customWidth="1"/>
    <col min="48" max="48" width="12.5703125" bestFit="1" customWidth="1"/>
    <col min="49" max="49" width="9.5703125" style="3" bestFit="1" customWidth="1"/>
    <col min="50" max="50" width="11.7109375" bestFit="1" customWidth="1"/>
    <col min="51" max="51" width="10" style="5" bestFit="1" customWidth="1"/>
    <col min="52" max="52" width="11.42578125" style="5" bestFit="1" customWidth="1"/>
    <col min="53" max="53" width="10" style="5" bestFit="1" customWidth="1"/>
    <col min="54" max="54" width="6.85546875" bestFit="1" customWidth="1"/>
    <col min="55" max="55" width="9.42578125" style="5" bestFit="1" customWidth="1"/>
    <col min="56" max="56" width="9.7109375" style="5" bestFit="1" customWidth="1"/>
    <col min="57" max="57" width="6.140625" style="5" bestFit="1" customWidth="1"/>
    <col min="58" max="58" width="7" bestFit="1" customWidth="1"/>
    <col min="59" max="59" width="12.85546875" style="27" bestFit="1" customWidth="1"/>
    <col min="60" max="60" width="7.7109375" bestFit="1" customWidth="1"/>
    <col min="61" max="61" width="9.5703125" bestFit="1" customWidth="1"/>
    <col min="62" max="62" width="10.5703125" bestFit="1" customWidth="1"/>
    <col min="63" max="63" width="8.7109375" bestFit="1" customWidth="1"/>
    <col min="64" max="64" width="9.5703125" bestFit="1" customWidth="1"/>
    <col min="65" max="65" width="8.85546875" bestFit="1" customWidth="1"/>
    <col min="66" max="66" width="4.28515625" bestFit="1" customWidth="1"/>
  </cols>
  <sheetData>
    <row r="1" spans="1:69" s="96" customFormat="1">
      <c r="A1" s="5"/>
      <c r="B1" s="5" t="s">
        <v>149</v>
      </c>
      <c r="C1" s="5" t="s">
        <v>104</v>
      </c>
      <c r="D1" s="5"/>
      <c r="E1" s="5" t="s">
        <v>223</v>
      </c>
      <c r="F1" s="5" t="s">
        <v>222</v>
      </c>
      <c r="G1" s="5" t="s">
        <v>224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72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69" s="5" customFormat="1">
      <c r="A2" s="5" t="s">
        <v>212</v>
      </c>
      <c r="B2" s="241">
        <f>COUNTIF($A$11:$A$208,A2)</f>
        <v>12</v>
      </c>
      <c r="C2" s="96">
        <f>VLOOKUP($A2,CTBat!$A$2:$B$8,2,FALSE)</f>
        <v>13</v>
      </c>
      <c r="D2" s="5">
        <v>25</v>
      </c>
      <c r="E2" s="115">
        <f>B2/$D2</f>
        <v>0.48</v>
      </c>
      <c r="F2" s="116">
        <f>C2/$D2</f>
        <v>0.52</v>
      </c>
      <c r="G2" s="115">
        <f>(B2+C2)/$D2</f>
        <v>1</v>
      </c>
      <c r="BG2" s="72"/>
    </row>
    <row r="3" spans="1:69" s="5" customFormat="1">
      <c r="A3" s="5" t="s">
        <v>213</v>
      </c>
      <c r="B3" s="241">
        <f>COUNTIF($A$11:$A$208,A3)</f>
        <v>12</v>
      </c>
      <c r="C3" s="96">
        <f>VLOOKUP($A3,CTBat!$A$2:$B$8,2,FALSE)</f>
        <v>14</v>
      </c>
      <c r="D3" s="5">
        <v>25</v>
      </c>
      <c r="E3" s="115">
        <f t="shared" ref="E3:E6" si="0">B3/$D3</f>
        <v>0.48</v>
      </c>
      <c r="F3" s="116">
        <f>C3/$D3</f>
        <v>0.56000000000000005</v>
      </c>
      <c r="G3" s="115">
        <f>(B3+C3)/$D3</f>
        <v>1.04</v>
      </c>
      <c r="BG3" s="72"/>
    </row>
    <row r="4" spans="1:69" s="5" customFormat="1">
      <c r="A4" s="5" t="s">
        <v>214</v>
      </c>
      <c r="B4" s="241">
        <f>COUNTIF($A$11:$A$208,A4)</f>
        <v>15</v>
      </c>
      <c r="C4" s="96">
        <f>VLOOKUP($A4,CTBat!$A$2:$B$8,2,FALSE)</f>
        <v>16</v>
      </c>
      <c r="D4" s="5">
        <v>25</v>
      </c>
      <c r="E4" s="115">
        <f t="shared" si="0"/>
        <v>0.6</v>
      </c>
      <c r="F4" s="116">
        <f>C4/$D4</f>
        <v>0.64</v>
      </c>
      <c r="G4" s="115">
        <f>(B4+C4)/$D4</f>
        <v>1.24</v>
      </c>
      <c r="BG4" s="72"/>
    </row>
    <row r="5" spans="1:69" s="5" customFormat="1">
      <c r="A5" s="5" t="s">
        <v>215</v>
      </c>
      <c r="B5" s="241">
        <f>COUNTIF($A$11:$A$208,A5)</f>
        <v>13</v>
      </c>
      <c r="C5" s="96">
        <f>VLOOKUP($A5,CTBat!$A$2:$B$8,2,FALSE)</f>
        <v>14</v>
      </c>
      <c r="D5" s="5">
        <v>25</v>
      </c>
      <c r="E5" s="115">
        <f t="shared" si="0"/>
        <v>0.52</v>
      </c>
      <c r="F5" s="116">
        <f>C5/$D5</f>
        <v>0.56000000000000005</v>
      </c>
      <c r="G5" s="115">
        <f>(B5+C5)/$D5</f>
        <v>1.08</v>
      </c>
      <c r="BG5" s="72"/>
    </row>
    <row r="6" spans="1:69" s="5" customFormat="1">
      <c r="A6" s="241" t="s">
        <v>327</v>
      </c>
      <c r="B6" s="5">
        <f>COUNTIF($A$11:$A$208,A6)</f>
        <v>16</v>
      </c>
      <c r="C6" s="96">
        <f>VLOOKUP($A6,CTBat!$A$2:$B$8,2,FALSE)</f>
        <v>21</v>
      </c>
      <c r="D6" s="5">
        <v>35</v>
      </c>
      <c r="E6" s="115">
        <f t="shared" si="0"/>
        <v>0.45714285714285713</v>
      </c>
      <c r="F6" s="116">
        <f>C6/$D6</f>
        <v>0.6</v>
      </c>
      <c r="G6" s="115">
        <f>(B6+C6)/$D6</f>
        <v>1.0571428571428572</v>
      </c>
      <c r="BG6" s="72"/>
    </row>
    <row r="7" spans="1:69" s="96" customFormat="1">
      <c r="A7" s="5" t="s">
        <v>220</v>
      </c>
      <c r="B7" s="5">
        <f>COUNTBLANK($A$11:$A$208)-COUNTBLANK($I$11:$I$208)</f>
        <v>1</v>
      </c>
      <c r="C7" s="96">
        <f>VLOOKUP($A7,CTBat!$A$2:$B$8,2,FALSE)</f>
        <v>0</v>
      </c>
      <c r="D7" s="116"/>
      <c r="E7" s="115"/>
      <c r="F7" s="116"/>
      <c r="G7" s="11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72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s="96" customFormat="1">
      <c r="A8" s="5" t="s">
        <v>221</v>
      </c>
      <c r="B8" s="5">
        <f>SUM(B2:B7)</f>
        <v>69</v>
      </c>
      <c r="C8" s="5">
        <f>SUM(C2:C7)</f>
        <v>78</v>
      </c>
      <c r="D8" s="5">
        <f>SUM(D2:D7)</f>
        <v>135</v>
      </c>
      <c r="E8" s="115">
        <f t="shared" ref="E8" si="1">B8/$D8</f>
        <v>0.51111111111111107</v>
      </c>
      <c r="F8" s="116">
        <f>C8/$D8</f>
        <v>0.57777777777777772</v>
      </c>
      <c r="G8" s="115">
        <f>(B8+C8)/$D8</f>
        <v>1.0888888888888888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72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1:69" s="5" customFormat="1">
      <c r="F9" s="215"/>
      <c r="BG9" s="72"/>
    </row>
    <row r="10" spans="1:69" s="1" customFormat="1">
      <c r="A10" s="1" t="s">
        <v>211</v>
      </c>
      <c r="B10" s="1" t="s">
        <v>216</v>
      </c>
      <c r="C10" s="1" t="s">
        <v>117</v>
      </c>
      <c r="D10" s="1" t="s">
        <v>58</v>
      </c>
      <c r="E10" s="1" t="s">
        <v>20</v>
      </c>
      <c r="F10" s="1" t="s">
        <v>388</v>
      </c>
      <c r="G10" s="1" t="s">
        <v>211</v>
      </c>
      <c r="H10" s="1" t="s">
        <v>94</v>
      </c>
      <c r="I10" s="1" t="s">
        <v>104</v>
      </c>
      <c r="J10" s="2" t="s">
        <v>105</v>
      </c>
      <c r="K10" s="1" t="s">
        <v>21</v>
      </c>
      <c r="L10" s="1" t="s">
        <v>22</v>
      </c>
      <c r="M10" s="1" t="s">
        <v>23</v>
      </c>
      <c r="N10" s="2" t="s">
        <v>24</v>
      </c>
      <c r="O10" s="1" t="s">
        <v>59</v>
      </c>
      <c r="P10" s="1" t="s">
        <v>60</v>
      </c>
      <c r="Q10" s="2" t="s">
        <v>25</v>
      </c>
      <c r="R10" s="1" t="s">
        <v>61</v>
      </c>
      <c r="S10" s="1" t="s">
        <v>62</v>
      </c>
      <c r="T10" s="2" t="s">
        <v>30</v>
      </c>
      <c r="U10" s="1" t="s">
        <v>63</v>
      </c>
      <c r="V10" s="1" t="s">
        <v>64</v>
      </c>
      <c r="W10" s="1" t="s">
        <v>65</v>
      </c>
      <c r="X10" s="1" t="s">
        <v>66</v>
      </c>
      <c r="Y10" s="1" t="s">
        <v>67</v>
      </c>
      <c r="Z10" s="1" t="s">
        <v>68</v>
      </c>
      <c r="AA10" s="1" t="s">
        <v>69</v>
      </c>
      <c r="AB10" s="1" t="s">
        <v>70</v>
      </c>
      <c r="AC10" s="1" t="s">
        <v>71</v>
      </c>
      <c r="AD10" s="1" t="s">
        <v>72</v>
      </c>
      <c r="AE10" s="1" t="s">
        <v>111</v>
      </c>
      <c r="AF10" s="1" t="s">
        <v>73</v>
      </c>
      <c r="AG10" s="1" t="s">
        <v>74</v>
      </c>
      <c r="AH10" s="1" t="s">
        <v>75</v>
      </c>
      <c r="AI10" s="1" t="s">
        <v>76</v>
      </c>
      <c r="AJ10" s="1" t="s">
        <v>77</v>
      </c>
      <c r="AK10" s="1" t="s">
        <v>78</v>
      </c>
      <c r="AL10" s="1" t="s">
        <v>79</v>
      </c>
      <c r="AM10" s="1" t="s">
        <v>80</v>
      </c>
      <c r="AN10" s="1" t="s">
        <v>81</v>
      </c>
      <c r="AO10" s="1" t="s">
        <v>82</v>
      </c>
      <c r="AP10" s="1" t="s">
        <v>83</v>
      </c>
      <c r="AQ10" s="1" t="s">
        <v>84</v>
      </c>
      <c r="AR10" s="2" t="s">
        <v>85</v>
      </c>
      <c r="AS10" s="1" t="s">
        <v>86</v>
      </c>
      <c r="AT10" s="1" t="s">
        <v>87</v>
      </c>
      <c r="AU10" s="2" t="s">
        <v>88</v>
      </c>
      <c r="AV10" s="1" t="s">
        <v>38</v>
      </c>
      <c r="AW10" s="2" t="s">
        <v>39</v>
      </c>
      <c r="AX10" s="1" t="s">
        <v>115</v>
      </c>
      <c r="AY10" s="4" t="s">
        <v>90</v>
      </c>
      <c r="AZ10" s="4" t="s">
        <v>116</v>
      </c>
      <c r="BA10" s="4" t="s">
        <v>90</v>
      </c>
      <c r="BB10" s="4" t="s">
        <v>89</v>
      </c>
      <c r="BC10" s="4" t="s">
        <v>92</v>
      </c>
      <c r="BD10" s="4" t="s">
        <v>192</v>
      </c>
      <c r="BE10" s="4" t="s">
        <v>207</v>
      </c>
      <c r="BF10" s="1" t="s">
        <v>118</v>
      </c>
      <c r="BG10" s="120" t="s">
        <v>245</v>
      </c>
      <c r="BH10" s="1" t="s">
        <v>244</v>
      </c>
      <c r="BI10" s="1" t="s">
        <v>370</v>
      </c>
      <c r="BJ10" s="1" t="s">
        <v>371</v>
      </c>
      <c r="BK10" s="1" t="s">
        <v>381</v>
      </c>
      <c r="BL10" s="1" t="s">
        <v>382</v>
      </c>
      <c r="BM10" s="1" t="s">
        <v>375</v>
      </c>
      <c r="BN10" s="1" t="s">
        <v>380</v>
      </c>
    </row>
    <row r="11" spans="1:69">
      <c r="A11" s="96" t="s">
        <v>212</v>
      </c>
      <c r="B11" t="s">
        <v>111</v>
      </c>
      <c r="C11" t="str">
        <f>IF(OR(OR(M11="Very High",M11="High"),AND(OR(M11="Very High",M11="High",M11="Normal"),OR(N11="Very High",N11="High"))),"K","T")</f>
        <v>K</v>
      </c>
      <c r="D11" s="27" t="s">
        <v>111</v>
      </c>
      <c r="E11" s="27" t="s">
        <v>4</v>
      </c>
      <c r="F11" s="27" t="s">
        <v>25</v>
      </c>
      <c r="G11" s="27" t="s">
        <v>212</v>
      </c>
      <c r="H11" s="27">
        <v>25</v>
      </c>
      <c r="I11" s="27" t="s">
        <v>107</v>
      </c>
      <c r="J11" s="28" t="s">
        <v>107</v>
      </c>
      <c r="K11" s="27" t="s">
        <v>48</v>
      </c>
      <c r="L11" s="27" t="s">
        <v>44</v>
      </c>
      <c r="M11" s="27" t="s">
        <v>228</v>
      </c>
      <c r="N11" s="28" t="s">
        <v>229</v>
      </c>
      <c r="O11" s="27">
        <v>8</v>
      </c>
      <c r="P11" s="27">
        <v>7</v>
      </c>
      <c r="Q11" s="28">
        <v>8</v>
      </c>
      <c r="R11" s="27">
        <v>8</v>
      </c>
      <c r="S11" s="27">
        <v>7</v>
      </c>
      <c r="T11" s="28">
        <v>8</v>
      </c>
      <c r="U11" s="27">
        <v>8</v>
      </c>
      <c r="V11" s="27">
        <v>8</v>
      </c>
      <c r="W11" s="27">
        <v>8</v>
      </c>
      <c r="X11" s="27">
        <v>8</v>
      </c>
      <c r="Y11" s="27" t="s">
        <v>41</v>
      </c>
      <c r="Z11" s="27" t="s">
        <v>41</v>
      </c>
      <c r="AA11" s="27">
        <v>8</v>
      </c>
      <c r="AB11" s="27">
        <v>8</v>
      </c>
      <c r="AC11" s="27">
        <v>7</v>
      </c>
      <c r="AD11" s="27">
        <v>7</v>
      </c>
      <c r="AE11" s="27" t="s">
        <v>41</v>
      </c>
      <c r="AF11" s="27" t="s">
        <v>41</v>
      </c>
      <c r="AG11" s="27" t="s">
        <v>41</v>
      </c>
      <c r="AH11" s="27" t="s">
        <v>41</v>
      </c>
      <c r="AI11" s="27" t="s">
        <v>41</v>
      </c>
      <c r="AJ11" s="27" t="s">
        <v>41</v>
      </c>
      <c r="AK11" s="27">
        <v>2</v>
      </c>
      <c r="AL11" s="27">
        <v>2</v>
      </c>
      <c r="AM11" s="27" t="s">
        <v>41</v>
      </c>
      <c r="AN11" s="27" t="s">
        <v>41</v>
      </c>
      <c r="AO11" s="27" t="s">
        <v>41</v>
      </c>
      <c r="AP11" s="27" t="s">
        <v>41</v>
      </c>
      <c r="AQ11" s="27" t="s">
        <v>41</v>
      </c>
      <c r="AR11" s="28" t="s">
        <v>41</v>
      </c>
      <c r="AS11" s="27" t="s">
        <v>5</v>
      </c>
      <c r="AT11" s="27">
        <v>7</v>
      </c>
      <c r="AU11" s="82">
        <v>0.61</v>
      </c>
      <c r="AV11" s="86">
        <v>8750000</v>
      </c>
      <c r="AW11" s="28" t="s">
        <v>46</v>
      </c>
      <c r="AX11" s="29">
        <f>AVERAGE(O11:Q11)+0.25*MAX(0,(COUNT(U11,W11,Y11,AA11,AC11,AE11,AG11,AI11,AK11,AM11,AO11,AQ11)-3))+IF(AU11&gt;0.55,0.25,0)+IF(MAX(U11,W11,Y11,AA11,AC11,AE11,AG11,AI11,AK11,AM11,AO11,AQ11)&gt;5,0.25,0)</f>
        <v>8.6666666666666679</v>
      </c>
      <c r="AY11" s="30" t="str">
        <f>IF(AX11&gt;9,"SuperStar",IF(AX11&gt;8,"Star",IF(AX11&gt;6.5,"GoodReg",IF(AX11&gt;5,"Reg",IF(AX11&gt;4,"Bench","Minors")))))</f>
        <v>Star</v>
      </c>
      <c r="AZ11" s="30">
        <f>AVERAGE(R11:T11)+0.25*MAX(0,(COUNT(V11,X11,Z11,AB11,AD11,AF11,AH11,AJ11,AL11,AN11,AP11,AR11)-3))+IF(AU11&gt;0.55,0.25,0)+IF(MAX(V11,X11,Z11,AB11,AD11,AF11,AH11,AJ11,AL11,AN11,AP11,AR11)&gt;5,0.25,0)</f>
        <v>8.6666666666666679</v>
      </c>
      <c r="BA11" s="30" t="str">
        <f>IF(AZ11&gt;9,"SuperStar",IF(AZ11&gt;8,"Star",IF(AZ11&gt;6.5,"GoodReg",IF(AZ11&gt;5,"Reg",IF(AZ11&gt;4,"Bench","Minors")))))</f>
        <v>Star</v>
      </c>
      <c r="BB11" s="30">
        <f>MIN(AX11+(MAX(0,25-S11))^1.5,AZ11)</f>
        <v>8.6666666666666679</v>
      </c>
      <c r="BC11" s="30" t="str">
        <f>IF(BB11&gt;9,"SuperStar",IF(BB11&gt;8,"Star",IF(BB11&gt;6.5,"GoodReg",IF(BB11&gt;5,"Reg",IF(BB11&gt;4,"Bench","Minors")))))</f>
        <v>Star</v>
      </c>
      <c r="BD11" s="108">
        <f>COUNT(U11:AR11)/2</f>
        <v>5</v>
      </c>
      <c r="BE11" s="109">
        <f>COUNTIF(U11:AR11,"&gt;5")/2</f>
        <v>4</v>
      </c>
      <c r="BF11" s="27" t="str">
        <f>IF(AW11=1,"Yes","")</f>
        <v/>
      </c>
      <c r="BG11" s="27" t="str">
        <f>IF(A11="ML","There",IF(AVERAGE($R11:$T11)&gt;=6,"Likely",IF(AVERAGE($R11:$T11)&gt;=4,"Possible","Unlikely")))</f>
        <v>There</v>
      </c>
      <c r="BH11" t="str">
        <f>IF(AVERAGE(O11:Q11)&gt;=5.5,"ML",IF(AVERAGE(O11:Q11)&gt;=4.5,"AAA",IF(AVERAGE(O11:Q11)&gt;=4,"AA",IF(AVERAGE(O11:Q11)&gt;=3.5,"A","SS-A"))))</f>
        <v>ML</v>
      </c>
      <c r="BI11">
        <f>SUM(O11:Q11)</f>
        <v>23</v>
      </c>
      <c r="BJ11">
        <f>SUM(R11:T11)</f>
        <v>23</v>
      </c>
      <c r="BK11">
        <f>O11-R11</f>
        <v>0</v>
      </c>
      <c r="BL11">
        <f>P11-S11</f>
        <v>0</v>
      </c>
      <c r="BM11">
        <f>Q11-T11</f>
        <v>0</v>
      </c>
      <c r="BN11">
        <f>SUM(BK11:BM11)</f>
        <v>0</v>
      </c>
    </row>
    <row r="12" spans="1:69">
      <c r="A12" s="96" t="s">
        <v>212</v>
      </c>
      <c r="B12" t="s">
        <v>111</v>
      </c>
      <c r="C12" t="str">
        <f>IF(OR(OR(M12="Very High",M12="High"),AND(OR(M12="Very High",M12="High",M12="Normal"),OR(N12="Very High",N12="High"))),"K","T")</f>
        <v>K</v>
      </c>
      <c r="D12" s="27" t="s">
        <v>111</v>
      </c>
      <c r="E12" s="27" t="s">
        <v>347</v>
      </c>
      <c r="F12" s="27" t="s">
        <v>25</v>
      </c>
      <c r="G12" s="27" t="s">
        <v>212</v>
      </c>
      <c r="H12" s="27">
        <v>25</v>
      </c>
      <c r="I12" s="27" t="s">
        <v>107</v>
      </c>
      <c r="J12" s="28" t="s">
        <v>107</v>
      </c>
      <c r="K12" s="27" t="s">
        <v>48</v>
      </c>
      <c r="L12" s="27" t="s">
        <v>48</v>
      </c>
      <c r="M12" s="27" t="s">
        <v>229</v>
      </c>
      <c r="N12" s="28" t="s">
        <v>229</v>
      </c>
      <c r="O12" s="27">
        <v>8</v>
      </c>
      <c r="P12" s="27">
        <v>6</v>
      </c>
      <c r="Q12" s="28">
        <v>6</v>
      </c>
      <c r="R12" s="27">
        <v>8</v>
      </c>
      <c r="S12" s="27">
        <v>6</v>
      </c>
      <c r="T12" s="28">
        <v>6</v>
      </c>
      <c r="U12" s="27">
        <v>9</v>
      </c>
      <c r="V12" s="27">
        <v>9</v>
      </c>
      <c r="W12" s="27">
        <v>8</v>
      </c>
      <c r="X12" s="27">
        <v>8</v>
      </c>
      <c r="Y12" s="27" t="s">
        <v>41</v>
      </c>
      <c r="Z12" s="27" t="s">
        <v>41</v>
      </c>
      <c r="AA12" s="27">
        <v>8</v>
      </c>
      <c r="AB12" s="27">
        <v>8</v>
      </c>
      <c r="AC12" s="27" t="s">
        <v>41</v>
      </c>
      <c r="AD12" s="27" t="s">
        <v>41</v>
      </c>
      <c r="AE12" s="27">
        <v>5</v>
      </c>
      <c r="AF12" s="27">
        <v>5</v>
      </c>
      <c r="AG12" s="27" t="s">
        <v>41</v>
      </c>
      <c r="AH12" s="27" t="s">
        <v>41</v>
      </c>
      <c r="AI12" s="27" t="s">
        <v>41</v>
      </c>
      <c r="AJ12" s="27" t="s">
        <v>41</v>
      </c>
      <c r="AK12" s="27" t="s">
        <v>41</v>
      </c>
      <c r="AL12" s="27" t="s">
        <v>41</v>
      </c>
      <c r="AM12" s="27" t="s">
        <v>41</v>
      </c>
      <c r="AN12" s="27" t="s">
        <v>41</v>
      </c>
      <c r="AO12" s="27" t="s">
        <v>41</v>
      </c>
      <c r="AP12" s="27" t="s">
        <v>41</v>
      </c>
      <c r="AQ12" s="27" t="s">
        <v>41</v>
      </c>
      <c r="AR12" s="28" t="s">
        <v>41</v>
      </c>
      <c r="AS12" s="27" t="s">
        <v>252</v>
      </c>
      <c r="AT12" s="27">
        <v>8</v>
      </c>
      <c r="AU12" s="82">
        <v>0.38</v>
      </c>
      <c r="AV12" s="86">
        <v>1900000</v>
      </c>
      <c r="AW12" s="28" t="s">
        <v>45</v>
      </c>
      <c r="AX12" s="29">
        <f>AVERAGE(O12:Q12)+0.25*MAX(0,(COUNT(U12,W12,Y12,AA12,AC12,AE12,AG12,AI12,AK12,AM12,AO12,AQ12)-3))+IF(AU12&gt;0.55,0.25,0)+IF(MAX(U12,W12,Y12,AA12,AC12,AE12,AG12,AI12,AK12,AM12,AO12,AQ12)&gt;5,0.25,0)</f>
        <v>7.166666666666667</v>
      </c>
      <c r="AY12" s="30" t="str">
        <f>IF(AX12&gt;9,"SuperStar",IF(AX12&gt;8,"Star",IF(AX12&gt;6.5,"GoodReg",IF(AX12&gt;5,"Reg",IF(AX12&gt;4,"Bench","Minors")))))</f>
        <v>GoodReg</v>
      </c>
      <c r="AZ12" s="30">
        <f>AVERAGE(R12:T12)+0.25*MAX(0,(COUNT(V12,X12,Z12,AB12,AD12,AF12,AH12,AJ12,AL12,AN12,AP12,AR12)-3))+IF(AU12&gt;0.55,0.25,0)+IF(MAX(V12,X12,Z12,AB12,AD12,AF12,AH12,AJ12,AL12,AN12,AP12,AR12)&gt;5,0.25,0)</f>
        <v>7.166666666666667</v>
      </c>
      <c r="BA12" s="30" t="str">
        <f>IF(AZ12&gt;9,"SuperStar",IF(AZ12&gt;8,"Star",IF(AZ12&gt;6.5,"GoodReg",IF(AZ12&gt;5,"Reg",IF(AZ12&gt;4,"Bench","Minors")))))</f>
        <v>GoodReg</v>
      </c>
      <c r="BB12" s="30">
        <f>MIN(AX12+(MAX(0,25-S12))^1.5,AZ12)</f>
        <v>7.166666666666667</v>
      </c>
      <c r="BC12" s="30" t="str">
        <f>IF(BB12&gt;9,"SuperStar",IF(BB12&gt;8,"Star",IF(BB12&gt;6.5,"GoodReg",IF(BB12&gt;5,"Reg",IF(BB12&gt;4,"Bench","Minors")))))</f>
        <v>GoodReg</v>
      </c>
      <c r="BD12" s="108">
        <f>COUNT(U12:AR12)/2</f>
        <v>4</v>
      </c>
      <c r="BE12" s="109">
        <f>COUNTIF(U12:AR12,"&gt;5")/2</f>
        <v>3</v>
      </c>
      <c r="BF12" s="27" t="str">
        <f>IF(AW12=1,"Yes","")</f>
        <v/>
      </c>
      <c r="BG12" s="27" t="str">
        <f>IF(A12="ML","There",IF(AVERAGE($R12:$T12)&gt;=6,"Likely",IF(AVERAGE($R12:$T12)&gt;=4,"Possible","Unlikely")))</f>
        <v>There</v>
      </c>
      <c r="BH12" t="str">
        <f>IF(AVERAGE(O12:Q12)&gt;=5.5,"ML",IF(AVERAGE(O12:Q12)&gt;=4.5,"AAA",IF(AVERAGE(O12:Q12)&gt;=4,"AA",IF(AVERAGE(O12:Q12)&gt;=3.5,"A","SS-A"))))</f>
        <v>ML</v>
      </c>
      <c r="BI12">
        <f>SUM(O12:Q12)</f>
        <v>20</v>
      </c>
      <c r="BJ12">
        <f>SUM(R12:T12)</f>
        <v>20</v>
      </c>
      <c r="BK12">
        <f>O12-R12</f>
        <v>0</v>
      </c>
      <c r="BL12">
        <f>P12-S12</f>
        <v>0</v>
      </c>
      <c r="BM12">
        <f>Q12-T12</f>
        <v>0</v>
      </c>
      <c r="BN12">
        <f>SUM(BK12:BM12)</f>
        <v>0</v>
      </c>
    </row>
    <row r="13" spans="1:69">
      <c r="A13" s="96" t="s">
        <v>212</v>
      </c>
      <c r="B13" t="s">
        <v>111</v>
      </c>
      <c r="C13" t="str">
        <f>IF(OR(OR(M13="Very High",M13="High"),AND(OR(M13="Very High",M13="High",M13="Normal"),OR(N13="Very High",N13="High"))),"K","T")</f>
        <v>K</v>
      </c>
      <c r="D13" s="27" t="s">
        <v>111</v>
      </c>
      <c r="E13" s="27" t="s">
        <v>526</v>
      </c>
      <c r="F13" s="27" t="s">
        <v>25</v>
      </c>
      <c r="G13" s="27" t="s">
        <v>212</v>
      </c>
      <c r="H13" s="27">
        <v>24</v>
      </c>
      <c r="I13" s="27" t="s">
        <v>106</v>
      </c>
      <c r="J13" s="28" t="s">
        <v>107</v>
      </c>
      <c r="K13" s="27" t="s">
        <v>42</v>
      </c>
      <c r="L13" s="27" t="s">
        <v>40</v>
      </c>
      <c r="M13" s="27" t="s">
        <v>228</v>
      </c>
      <c r="N13" s="28" t="s">
        <v>228</v>
      </c>
      <c r="O13" s="27">
        <v>8</v>
      </c>
      <c r="P13" s="27">
        <v>6</v>
      </c>
      <c r="Q13" s="28">
        <v>6</v>
      </c>
      <c r="R13" s="27">
        <v>8</v>
      </c>
      <c r="S13" s="27">
        <v>6</v>
      </c>
      <c r="T13" s="28">
        <v>6</v>
      </c>
      <c r="U13" s="27">
        <v>9</v>
      </c>
      <c r="V13" s="27">
        <v>9</v>
      </c>
      <c r="W13" s="27">
        <v>8</v>
      </c>
      <c r="X13" s="27">
        <v>8</v>
      </c>
      <c r="Y13" s="27" t="s">
        <v>41</v>
      </c>
      <c r="Z13" s="27" t="s">
        <v>41</v>
      </c>
      <c r="AA13" s="27" t="s">
        <v>41</v>
      </c>
      <c r="AB13" s="27" t="s">
        <v>41</v>
      </c>
      <c r="AC13" s="27" t="s">
        <v>41</v>
      </c>
      <c r="AD13" s="27" t="s">
        <v>41</v>
      </c>
      <c r="AE13" s="27">
        <v>7</v>
      </c>
      <c r="AF13" s="27">
        <v>7</v>
      </c>
      <c r="AG13" s="27" t="s">
        <v>41</v>
      </c>
      <c r="AH13" s="27" t="s">
        <v>41</v>
      </c>
      <c r="AI13" s="27" t="s">
        <v>41</v>
      </c>
      <c r="AJ13" s="27" t="s">
        <v>41</v>
      </c>
      <c r="AK13" s="27" t="s">
        <v>41</v>
      </c>
      <c r="AL13" s="27" t="s">
        <v>41</v>
      </c>
      <c r="AM13" s="27" t="s">
        <v>41</v>
      </c>
      <c r="AN13" s="27" t="s">
        <v>41</v>
      </c>
      <c r="AO13" s="27" t="s">
        <v>41</v>
      </c>
      <c r="AP13" s="27" t="s">
        <v>41</v>
      </c>
      <c r="AQ13" s="27" t="s">
        <v>41</v>
      </c>
      <c r="AR13" s="28" t="s">
        <v>41</v>
      </c>
      <c r="AS13" s="27" t="s">
        <v>5</v>
      </c>
      <c r="AT13" s="27">
        <v>7</v>
      </c>
      <c r="AU13" s="82">
        <v>0.45</v>
      </c>
      <c r="AV13" s="86">
        <v>490000</v>
      </c>
      <c r="AW13" s="28" t="s">
        <v>45</v>
      </c>
      <c r="AX13" s="29">
        <f>AVERAGE(O13:Q13)+0.25*MAX(0,(COUNT(U13,W13,Y13,AA13,AC13,AE13,AG13,AI13,AK13,AM13,AO13,AQ13)-3))+IF(AU13&gt;0.55,0.25,0)+IF(MAX(U13,W13,Y13,AA13,AC13,AE13,AG13,AI13,AK13,AM13,AO13,AQ13)&gt;5,0.25,0)</f>
        <v>6.916666666666667</v>
      </c>
      <c r="AY13" s="30" t="str">
        <f>IF(AX13&gt;9,"SuperStar",IF(AX13&gt;8,"Star",IF(AX13&gt;6.5,"GoodReg",IF(AX13&gt;5,"Reg",IF(AX13&gt;4,"Bench","Minors")))))</f>
        <v>GoodReg</v>
      </c>
      <c r="AZ13" s="30">
        <f>AVERAGE(R13:T13)+0.25*MAX(0,(COUNT(V13,X13,Z13,AB13,AD13,AF13,AH13,AJ13,AL13,AN13,AP13,AR13)-3))+IF(AU13&gt;0.55,0.25,0)+IF(MAX(V13,X13,Z13,AB13,AD13,AF13,AH13,AJ13,AL13,AN13,AP13,AR13)&gt;5,0.25,0)</f>
        <v>6.916666666666667</v>
      </c>
      <c r="BA13" s="30" t="str">
        <f>IF(AZ13&gt;9,"SuperStar",IF(AZ13&gt;8,"Star",IF(AZ13&gt;6.5,"GoodReg",IF(AZ13&gt;5,"Reg",IF(AZ13&gt;4,"Bench","Minors")))))</f>
        <v>GoodReg</v>
      </c>
      <c r="BB13" s="30">
        <f>MIN(AX13+(MAX(0,25-S13))^1.5,AZ13)</f>
        <v>6.916666666666667</v>
      </c>
      <c r="BC13" s="30" t="str">
        <f>IF(BB13&gt;9,"SuperStar",IF(BB13&gt;8,"Star",IF(BB13&gt;6.5,"GoodReg",IF(BB13&gt;5,"Reg",IF(BB13&gt;4,"Bench","Minors")))))</f>
        <v>GoodReg</v>
      </c>
      <c r="BD13" s="108">
        <f>COUNT(U13:AR13)/2</f>
        <v>3</v>
      </c>
      <c r="BE13" s="109">
        <f>COUNTIF(U13:AR13,"&gt;5")/2</f>
        <v>3</v>
      </c>
      <c r="BF13" s="27" t="str">
        <f>IF(AW13=1,"Yes","")</f>
        <v/>
      </c>
      <c r="BG13" s="27" t="str">
        <f>IF(A13="ML","There",IF(AVERAGE($R13:$T13)&gt;=6,"Likely",IF(AVERAGE($R13:$T13)&gt;=4,"Possible","Unlikely")))</f>
        <v>There</v>
      </c>
      <c r="BH13" t="str">
        <f>IF(AVERAGE(O13:Q13)&gt;=5.5,"ML",IF(AVERAGE(O13:Q13)&gt;=4.5,"AAA",IF(AVERAGE(O13:Q13)&gt;=4,"AA",IF(AVERAGE(O13:Q13)&gt;=3.5,"A","SS-A"))))</f>
        <v>ML</v>
      </c>
      <c r="BI13">
        <f>SUM(O13:Q13)</f>
        <v>20</v>
      </c>
      <c r="BJ13">
        <f>SUM(R13:T13)</f>
        <v>20</v>
      </c>
      <c r="BK13">
        <f>O13-R13</f>
        <v>0</v>
      </c>
      <c r="BL13">
        <f>P13-S13</f>
        <v>0</v>
      </c>
      <c r="BM13">
        <f>Q13-T13</f>
        <v>0</v>
      </c>
      <c r="BN13">
        <f>SUM(BK13:BM13)</f>
        <v>0</v>
      </c>
    </row>
    <row r="14" spans="1:69">
      <c r="A14" s="96" t="s">
        <v>212</v>
      </c>
      <c r="B14" t="s">
        <v>111</v>
      </c>
      <c r="C14" t="str">
        <f>IF(OR(OR(M14="Very High",M14="High"),AND(OR(M14="Very High",M14="High",M14="Normal"),OR(N14="Very High",N14="High"))),"K","T")</f>
        <v>K</v>
      </c>
      <c r="D14" s="27" t="s">
        <v>111</v>
      </c>
      <c r="E14" s="27" t="s">
        <v>524</v>
      </c>
      <c r="F14" s="27" t="s">
        <v>25</v>
      </c>
      <c r="G14" s="27" t="s">
        <v>212</v>
      </c>
      <c r="H14" s="27">
        <v>28</v>
      </c>
      <c r="I14" s="27" t="s">
        <v>107</v>
      </c>
      <c r="J14" s="28" t="s">
        <v>107</v>
      </c>
      <c r="K14" s="27" t="s">
        <v>42</v>
      </c>
      <c r="L14" s="27" t="s">
        <v>48</v>
      </c>
      <c r="M14" s="27" t="s">
        <v>229</v>
      </c>
      <c r="N14" s="28" t="s">
        <v>228</v>
      </c>
      <c r="O14" s="27">
        <v>7</v>
      </c>
      <c r="P14" s="27">
        <v>6</v>
      </c>
      <c r="Q14" s="28">
        <v>5</v>
      </c>
      <c r="R14" s="27">
        <v>7</v>
      </c>
      <c r="S14" s="27">
        <v>6</v>
      </c>
      <c r="T14" s="28">
        <v>6</v>
      </c>
      <c r="U14" s="27">
        <v>6</v>
      </c>
      <c r="V14" s="27">
        <v>6</v>
      </c>
      <c r="W14" s="27">
        <v>10</v>
      </c>
      <c r="X14" s="27">
        <v>10</v>
      </c>
      <c r="Y14" s="27" t="s">
        <v>41</v>
      </c>
      <c r="Z14" s="27" t="s">
        <v>41</v>
      </c>
      <c r="AA14" s="27">
        <v>6</v>
      </c>
      <c r="AB14" s="27">
        <v>6</v>
      </c>
      <c r="AC14" s="27" t="s">
        <v>41</v>
      </c>
      <c r="AD14" s="27" t="s">
        <v>41</v>
      </c>
      <c r="AE14" s="27" t="s">
        <v>41</v>
      </c>
      <c r="AF14" s="27" t="s">
        <v>41</v>
      </c>
      <c r="AG14" s="27" t="s">
        <v>41</v>
      </c>
      <c r="AH14" s="27" t="s">
        <v>41</v>
      </c>
      <c r="AI14" s="27" t="s">
        <v>41</v>
      </c>
      <c r="AJ14" s="27" t="s">
        <v>41</v>
      </c>
      <c r="AK14" s="27" t="s">
        <v>41</v>
      </c>
      <c r="AL14" s="27" t="s">
        <v>41</v>
      </c>
      <c r="AM14" s="27" t="s">
        <v>41</v>
      </c>
      <c r="AN14" s="27" t="s">
        <v>41</v>
      </c>
      <c r="AO14" s="27" t="s">
        <v>41</v>
      </c>
      <c r="AP14" s="27" t="s">
        <v>41</v>
      </c>
      <c r="AQ14" s="27" t="s">
        <v>41</v>
      </c>
      <c r="AR14" s="28" t="s">
        <v>41</v>
      </c>
      <c r="AS14" s="27" t="s">
        <v>3</v>
      </c>
      <c r="AT14" s="27">
        <v>5</v>
      </c>
      <c r="AU14" s="82">
        <v>0.6</v>
      </c>
      <c r="AV14" s="86">
        <v>490000</v>
      </c>
      <c r="AW14" s="28" t="s">
        <v>45</v>
      </c>
      <c r="AX14" s="29">
        <f>AVERAGE(O14:Q14)+0.25*MAX(0,(COUNT(U14,W14,Y14,AA14,AC14,AE14,AG14,AI14,AK14,AM14,AO14,AQ14)-3))+IF(AU14&gt;0.55,0.25,0)+IF(MAX(U14,W14,Y14,AA14,AC14,AE14,AG14,AI14,AK14,AM14,AO14,AQ14)&gt;5,0.25,0)</f>
        <v>6.5</v>
      </c>
      <c r="AY14" s="30" t="str">
        <f>IF(AX14&gt;9,"SuperStar",IF(AX14&gt;8,"Star",IF(AX14&gt;6.5,"GoodReg",IF(AX14&gt;5,"Reg",IF(AX14&gt;4,"Bench","Minors")))))</f>
        <v>Reg</v>
      </c>
      <c r="AZ14" s="30">
        <f>AVERAGE(R14:T14)+0.25*MAX(0,(COUNT(V14,X14,Z14,AB14,AD14,AF14,AH14,AJ14,AL14,AN14,AP14,AR14)-3))+IF(AU14&gt;0.55,0.25,0)+IF(MAX(V14,X14,Z14,AB14,AD14,AF14,AH14,AJ14,AL14,AN14,AP14,AR14)&gt;5,0.25,0)</f>
        <v>6.833333333333333</v>
      </c>
      <c r="BA14" s="30" t="str">
        <f>IF(AZ14&gt;9,"SuperStar",IF(AZ14&gt;8,"Star",IF(AZ14&gt;6.5,"GoodReg",IF(AZ14&gt;5,"Reg",IF(AZ14&gt;4,"Bench","Minors")))))</f>
        <v>GoodReg</v>
      </c>
      <c r="BB14" s="30">
        <f>MIN(AX14+(MAX(0,25-S14))^1.5,AZ14)</f>
        <v>6.833333333333333</v>
      </c>
      <c r="BC14" s="30" t="str">
        <f>IF(BB14&gt;9,"SuperStar",IF(BB14&gt;8,"Star",IF(BB14&gt;6.5,"GoodReg",IF(BB14&gt;5,"Reg",IF(BB14&gt;4,"Bench","Minors")))))</f>
        <v>GoodReg</v>
      </c>
      <c r="BD14" s="108">
        <f>COUNT(U14:AR14)/2</f>
        <v>3</v>
      </c>
      <c r="BE14" s="109">
        <f>COUNTIF(U14:AR14,"&gt;5")/2</f>
        <v>3</v>
      </c>
      <c r="BF14" s="27" t="str">
        <f>IF(AW14=1,"Yes","")</f>
        <v/>
      </c>
      <c r="BG14" s="27" t="str">
        <f>IF(A14="ML","There",IF(AVERAGE($R14:$T14)&gt;=6,"Likely",IF(AVERAGE($R14:$T14)&gt;=4,"Possible","Unlikely")))</f>
        <v>There</v>
      </c>
      <c r="BH14" t="str">
        <f>IF(AVERAGE(O14:Q14)&gt;=5.5,"ML",IF(AVERAGE(O14:Q14)&gt;=4.5,"AAA",IF(AVERAGE(O14:Q14)&gt;=4,"AA",IF(AVERAGE(O14:Q14)&gt;=3.5,"A","SS-A"))))</f>
        <v>ML</v>
      </c>
      <c r="BI14">
        <f>SUM(O14:Q14)</f>
        <v>18</v>
      </c>
      <c r="BJ14">
        <f>SUM(R14:T14)</f>
        <v>19</v>
      </c>
      <c r="BK14">
        <f>O14-R14</f>
        <v>0</v>
      </c>
      <c r="BL14">
        <f>P14-S14</f>
        <v>0</v>
      </c>
      <c r="BM14">
        <f>Q14-T14</f>
        <v>-1</v>
      </c>
      <c r="BN14">
        <f>SUM(BK14:BM14)</f>
        <v>-1</v>
      </c>
    </row>
    <row r="15" spans="1:69">
      <c r="A15" s="96" t="s">
        <v>212</v>
      </c>
      <c r="B15" t="s">
        <v>111</v>
      </c>
      <c r="C15" t="str">
        <f>IF(OR(OR(M15="Very High",M15="High"),AND(OR(M15="Very High",M15="High",M15="Normal"),OR(N15="Very High",N15="High"))),"K","T")</f>
        <v>K</v>
      </c>
      <c r="D15" s="27" t="s">
        <v>111</v>
      </c>
      <c r="E15" s="27" t="s">
        <v>426</v>
      </c>
      <c r="F15" s="27" t="s">
        <v>25</v>
      </c>
      <c r="G15" s="27" t="s">
        <v>212</v>
      </c>
      <c r="H15" s="27">
        <v>28</v>
      </c>
      <c r="I15" s="27" t="s">
        <v>106</v>
      </c>
      <c r="J15" s="28" t="s">
        <v>106</v>
      </c>
      <c r="K15" s="27" t="s">
        <v>42</v>
      </c>
      <c r="L15" s="27" t="s">
        <v>42</v>
      </c>
      <c r="M15" s="27" t="s">
        <v>229</v>
      </c>
      <c r="N15" s="28" t="s">
        <v>232</v>
      </c>
      <c r="O15" s="27">
        <v>8</v>
      </c>
      <c r="P15" s="27">
        <v>5</v>
      </c>
      <c r="Q15" s="28">
        <v>5</v>
      </c>
      <c r="R15" s="27">
        <v>8</v>
      </c>
      <c r="S15" s="27">
        <v>5</v>
      </c>
      <c r="T15" s="28">
        <v>5</v>
      </c>
      <c r="U15" s="27">
        <v>8</v>
      </c>
      <c r="V15" s="27">
        <v>8</v>
      </c>
      <c r="W15" s="27">
        <v>10</v>
      </c>
      <c r="X15" s="27">
        <v>10</v>
      </c>
      <c r="Y15" s="27" t="s">
        <v>41</v>
      </c>
      <c r="Z15" s="27" t="s">
        <v>41</v>
      </c>
      <c r="AA15" s="27">
        <v>8</v>
      </c>
      <c r="AB15" s="27">
        <v>8</v>
      </c>
      <c r="AC15" s="27" t="s">
        <v>41</v>
      </c>
      <c r="AD15" s="27" t="s">
        <v>41</v>
      </c>
      <c r="AE15" s="27" t="s">
        <v>41</v>
      </c>
      <c r="AF15" s="27" t="s">
        <v>41</v>
      </c>
      <c r="AG15" s="27" t="s">
        <v>41</v>
      </c>
      <c r="AH15" s="27" t="s">
        <v>41</v>
      </c>
      <c r="AI15" s="27" t="s">
        <v>41</v>
      </c>
      <c r="AJ15" s="27" t="s">
        <v>41</v>
      </c>
      <c r="AK15" s="27" t="s">
        <v>41</v>
      </c>
      <c r="AL15" s="27" t="s">
        <v>41</v>
      </c>
      <c r="AM15" s="27" t="s">
        <v>41</v>
      </c>
      <c r="AN15" s="27" t="s">
        <v>41</v>
      </c>
      <c r="AO15" s="27" t="s">
        <v>41</v>
      </c>
      <c r="AP15" s="27" t="s">
        <v>41</v>
      </c>
      <c r="AQ15" s="27" t="s">
        <v>41</v>
      </c>
      <c r="AR15" s="28" t="s">
        <v>41</v>
      </c>
      <c r="AS15" s="27" t="s">
        <v>11</v>
      </c>
      <c r="AT15" s="27">
        <v>8</v>
      </c>
      <c r="AU15" s="82">
        <v>0.37</v>
      </c>
      <c r="AV15" s="86">
        <v>490000</v>
      </c>
      <c r="AW15" s="28" t="s">
        <v>46</v>
      </c>
      <c r="AX15" s="29">
        <f>AVERAGE(O15:Q15)+0.25*MAX(0,(COUNT(U15,W15,Y15,AA15,AC15,AE15,AG15,AI15,AK15,AM15,AO15,AQ15)-3))+IF(AU15&gt;0.55,0.25,0)+IF(MAX(U15,W15,Y15,AA15,AC15,AE15,AG15,AI15,AK15,AM15,AO15,AQ15)&gt;5,0.25,0)</f>
        <v>6.25</v>
      </c>
      <c r="AY15" s="30" t="str">
        <f>IF(AX15&gt;9,"SuperStar",IF(AX15&gt;8,"Star",IF(AX15&gt;6.5,"GoodReg",IF(AX15&gt;5,"Reg",IF(AX15&gt;4,"Bench","Minors")))))</f>
        <v>Reg</v>
      </c>
      <c r="AZ15" s="30">
        <f>AVERAGE(R15:T15)+0.25*MAX(0,(COUNT(V15,X15,Z15,AB15,AD15,AF15,AH15,AJ15,AL15,AN15,AP15,AR15)-3))+IF(AU15&gt;0.55,0.25,0)+IF(MAX(V15,X15,Z15,AB15,AD15,AF15,AH15,AJ15,AL15,AN15,AP15,AR15)&gt;5,0.25,0)</f>
        <v>6.25</v>
      </c>
      <c r="BA15" s="30" t="str">
        <f>IF(AZ15&gt;9,"SuperStar",IF(AZ15&gt;8,"Star",IF(AZ15&gt;6.5,"GoodReg",IF(AZ15&gt;5,"Reg",IF(AZ15&gt;4,"Bench","Minors")))))</f>
        <v>Reg</v>
      </c>
      <c r="BB15" s="30">
        <f>MIN(AX15+(MAX(0,25-S15))^1.5,AZ15)</f>
        <v>6.25</v>
      </c>
      <c r="BC15" s="30" t="str">
        <f>IF(BB15&gt;9,"SuperStar",IF(BB15&gt;8,"Star",IF(BB15&gt;6.5,"GoodReg",IF(BB15&gt;5,"Reg",IF(BB15&gt;4,"Bench","Minors")))))</f>
        <v>Reg</v>
      </c>
      <c r="BD15" s="108">
        <f>COUNT(U15:AR15)/2</f>
        <v>3</v>
      </c>
      <c r="BE15" s="109">
        <f>COUNTIF(U15:AR15,"&gt;5")/2</f>
        <v>3</v>
      </c>
      <c r="BF15" s="27" t="str">
        <f>IF(AW15=1,"Yes","")</f>
        <v/>
      </c>
      <c r="BG15" s="27" t="str">
        <f>IF(A15="ML","There",IF(AVERAGE($R15:$T15)&gt;=6,"Likely",IF(AVERAGE($R15:$T15)&gt;=4,"Possible","Unlikely")))</f>
        <v>There</v>
      </c>
      <c r="BH15" t="str">
        <f>IF(AVERAGE(O15:Q15)&gt;=5.5,"ML",IF(AVERAGE(O15:Q15)&gt;=4.5,"AAA",IF(AVERAGE(O15:Q15)&gt;=4,"AA",IF(AVERAGE(O15:Q15)&gt;=3.5,"A","SS-A"))))</f>
        <v>ML</v>
      </c>
      <c r="BI15">
        <f>SUM(O15:Q15)</f>
        <v>18</v>
      </c>
      <c r="BJ15">
        <f>SUM(R15:T15)</f>
        <v>18</v>
      </c>
      <c r="BK15">
        <f>O15-R15</f>
        <v>0</v>
      </c>
      <c r="BL15">
        <f>P15-S15</f>
        <v>0</v>
      </c>
      <c r="BM15">
        <f>Q15-T15</f>
        <v>0</v>
      </c>
      <c r="BN15">
        <f>SUM(BK15:BM15)</f>
        <v>0</v>
      </c>
    </row>
    <row r="16" spans="1:69">
      <c r="A16" s="96" t="s">
        <v>212</v>
      </c>
      <c r="B16" t="s">
        <v>110</v>
      </c>
      <c r="C16" t="str">
        <f>IF(OR(OR(M16="Very High",M16="High"),AND(OR(M16="Very High",M16="High",M16="Normal"),OR(N16="Very High",N16="High"))),"K","T")</f>
        <v>K</v>
      </c>
      <c r="D16" s="27" t="s">
        <v>110</v>
      </c>
      <c r="E16" s="27" t="s">
        <v>225</v>
      </c>
      <c r="F16" s="27" t="s">
        <v>25</v>
      </c>
      <c r="G16" s="27" t="s">
        <v>212</v>
      </c>
      <c r="H16" s="27">
        <v>23</v>
      </c>
      <c r="I16" s="27" t="s">
        <v>107</v>
      </c>
      <c r="J16" s="28" t="s">
        <v>107</v>
      </c>
      <c r="K16" s="27" t="s">
        <v>42</v>
      </c>
      <c r="L16" s="27" t="s">
        <v>48</v>
      </c>
      <c r="M16" s="27" t="s">
        <v>228</v>
      </c>
      <c r="N16" s="28" t="s">
        <v>228</v>
      </c>
      <c r="O16" s="27">
        <v>9</v>
      </c>
      <c r="P16" s="27">
        <v>6</v>
      </c>
      <c r="Q16" s="28">
        <v>4</v>
      </c>
      <c r="R16" s="27">
        <v>9</v>
      </c>
      <c r="S16" s="27">
        <v>6</v>
      </c>
      <c r="T16" s="28">
        <v>4</v>
      </c>
      <c r="U16" s="27">
        <v>8</v>
      </c>
      <c r="V16" s="27">
        <v>8</v>
      </c>
      <c r="W16" s="27">
        <v>3</v>
      </c>
      <c r="X16" s="27">
        <v>3</v>
      </c>
      <c r="Y16" s="27" t="s">
        <v>41</v>
      </c>
      <c r="Z16" s="27" t="s">
        <v>41</v>
      </c>
      <c r="AA16" s="27">
        <v>5</v>
      </c>
      <c r="AB16" s="27">
        <v>5</v>
      </c>
      <c r="AC16" s="27">
        <v>7</v>
      </c>
      <c r="AD16" s="27">
        <v>7</v>
      </c>
      <c r="AE16" s="27" t="s">
        <v>41</v>
      </c>
      <c r="AF16" s="27" t="s">
        <v>41</v>
      </c>
      <c r="AG16" s="27" t="s">
        <v>41</v>
      </c>
      <c r="AH16" s="27" t="s">
        <v>41</v>
      </c>
      <c r="AI16" s="27" t="s">
        <v>41</v>
      </c>
      <c r="AJ16" s="27" t="s">
        <v>41</v>
      </c>
      <c r="AK16" s="27" t="s">
        <v>41</v>
      </c>
      <c r="AL16" s="27" t="s">
        <v>41</v>
      </c>
      <c r="AM16" s="27" t="s">
        <v>41</v>
      </c>
      <c r="AN16" s="27" t="s">
        <v>41</v>
      </c>
      <c r="AO16" s="27" t="s">
        <v>41</v>
      </c>
      <c r="AP16" s="27" t="s">
        <v>41</v>
      </c>
      <c r="AQ16" s="27" t="s">
        <v>41</v>
      </c>
      <c r="AR16" s="28" t="s">
        <v>41</v>
      </c>
      <c r="AS16" s="27" t="s">
        <v>419</v>
      </c>
      <c r="AT16" s="27">
        <v>9</v>
      </c>
      <c r="AU16" s="82">
        <v>0.6</v>
      </c>
      <c r="AV16" s="86">
        <v>490000</v>
      </c>
      <c r="AW16" s="28" t="s">
        <v>45</v>
      </c>
      <c r="AX16" s="29">
        <f>AVERAGE(O16:Q16)+0.25*MAX(0,(COUNT(U16,W16,Y16,AA16,AC16,AE16,AG16,AI16,AK16,AM16,AO16,AQ16)-3))+IF(AU16&gt;0.55,0.25,0)+IF(MAX(U16,W16,Y16,AA16,AC16,AE16,AG16,AI16,AK16,AM16,AO16,AQ16)&gt;5,0.25,0)</f>
        <v>7.083333333333333</v>
      </c>
      <c r="AY16" s="30" t="str">
        <f>IF(AX16&gt;9,"SuperStar",IF(AX16&gt;8,"Star",IF(AX16&gt;6.5,"GoodReg",IF(AX16&gt;5,"Reg",IF(AX16&gt;4,"Bench","Minors")))))</f>
        <v>GoodReg</v>
      </c>
      <c r="AZ16" s="30">
        <f>AVERAGE(R16:T16)+0.25*MAX(0,(COUNT(V16,X16,Z16,AB16,AD16,AF16,AH16,AJ16,AL16,AN16,AP16,AR16)-3))+IF(AU16&gt;0.55,0.25,0)+IF(MAX(V16,X16,Z16,AB16,AD16,AF16,AH16,AJ16,AL16,AN16,AP16,AR16)&gt;5,0.25,0)</f>
        <v>7.083333333333333</v>
      </c>
      <c r="BA16" s="30" t="str">
        <f>IF(AZ16&gt;9,"SuperStar",IF(AZ16&gt;8,"Star",IF(AZ16&gt;6.5,"GoodReg",IF(AZ16&gt;5,"Reg",IF(AZ16&gt;4,"Bench","Minors")))))</f>
        <v>GoodReg</v>
      </c>
      <c r="BB16" s="30">
        <f>MIN(AX16+(MAX(0,25-S16))^1.5,AZ16)</f>
        <v>7.083333333333333</v>
      </c>
      <c r="BC16" s="30" t="str">
        <f>IF(BB16&gt;9,"SuperStar",IF(BB16&gt;8,"Star",IF(BB16&gt;6.5,"GoodReg",IF(BB16&gt;5,"Reg",IF(BB16&gt;4,"Bench","Minors")))))</f>
        <v>GoodReg</v>
      </c>
      <c r="BD16" s="108">
        <f>COUNT(U16:AR16)/2</f>
        <v>4</v>
      </c>
      <c r="BE16" s="109">
        <f>COUNTIF(U16:AR16,"&gt;5")/2</f>
        <v>2</v>
      </c>
      <c r="BF16" s="27" t="str">
        <f>IF(AW16=1,"Yes","")</f>
        <v/>
      </c>
      <c r="BG16" s="27" t="str">
        <f>IF(A16="ML","There",IF(AVERAGE($R16:$T16)&gt;=6,"Likely",IF(AVERAGE($R16:$T16)&gt;=4,"Possible","Unlikely")))</f>
        <v>There</v>
      </c>
      <c r="BH16" t="str">
        <f>IF(AVERAGE(O16:Q16)&gt;=5.5,"ML",IF(AVERAGE(O16:Q16)&gt;=4.5,"AAA",IF(AVERAGE(O16:Q16)&gt;=4,"AA",IF(AVERAGE(O16:Q16)&gt;=3.5,"A","SS-A"))))</f>
        <v>ML</v>
      </c>
      <c r="BI16">
        <f>SUM(O16:Q16)</f>
        <v>19</v>
      </c>
      <c r="BJ16">
        <f>SUM(R16:T16)</f>
        <v>19</v>
      </c>
      <c r="BK16">
        <f>O16-R16</f>
        <v>0</v>
      </c>
      <c r="BL16">
        <f>P16-S16</f>
        <v>0</v>
      </c>
      <c r="BM16">
        <f>Q16-T16</f>
        <v>0</v>
      </c>
      <c r="BN16">
        <f>SUM(BK16:BM16)</f>
        <v>0</v>
      </c>
    </row>
    <row r="17" spans="1:66">
      <c r="A17" s="96" t="s">
        <v>212</v>
      </c>
      <c r="B17" t="s">
        <v>110</v>
      </c>
      <c r="C17" t="str">
        <f>IF(OR(OR(M17="Very High",M17="High"),AND(OR(M17="Very High",M17="High",M17="Normal"),OR(N17="Very High",N17="High"))),"K","T")</f>
        <v>K</v>
      </c>
      <c r="D17" s="27" t="s">
        <v>110</v>
      </c>
      <c r="E17" s="27" t="s">
        <v>598</v>
      </c>
      <c r="F17" s="27" t="s">
        <v>25</v>
      </c>
      <c r="G17" s="27" t="s">
        <v>212</v>
      </c>
      <c r="H17" s="27">
        <v>29</v>
      </c>
      <c r="I17" s="27" t="s">
        <v>109</v>
      </c>
      <c r="J17" s="28" t="s">
        <v>107</v>
      </c>
      <c r="K17" s="27" t="s">
        <v>42</v>
      </c>
      <c r="L17" s="27" t="s">
        <v>40</v>
      </c>
      <c r="M17" s="27" t="s">
        <v>228</v>
      </c>
      <c r="N17" s="28" t="s">
        <v>228</v>
      </c>
      <c r="O17" s="27">
        <v>5</v>
      </c>
      <c r="P17" s="27">
        <v>8</v>
      </c>
      <c r="Q17" s="28">
        <v>7</v>
      </c>
      <c r="R17" s="27">
        <v>5</v>
      </c>
      <c r="S17" s="27">
        <v>8</v>
      </c>
      <c r="T17" s="28">
        <v>7</v>
      </c>
      <c r="U17" s="27">
        <v>4</v>
      </c>
      <c r="V17" s="27">
        <v>4</v>
      </c>
      <c r="W17" s="27" t="s">
        <v>41</v>
      </c>
      <c r="X17" s="27" t="s">
        <v>41</v>
      </c>
      <c r="Y17" s="27" t="s">
        <v>41</v>
      </c>
      <c r="Z17" s="27" t="s">
        <v>41</v>
      </c>
      <c r="AA17" s="27">
        <v>5</v>
      </c>
      <c r="AB17" s="27">
        <v>5</v>
      </c>
      <c r="AC17" s="27" t="s">
        <v>41</v>
      </c>
      <c r="AD17" s="27" t="s">
        <v>41</v>
      </c>
      <c r="AE17" s="27">
        <v>5</v>
      </c>
      <c r="AF17" s="27">
        <v>5</v>
      </c>
      <c r="AG17" s="27" t="s">
        <v>41</v>
      </c>
      <c r="AH17" s="27" t="s">
        <v>41</v>
      </c>
      <c r="AI17" s="27" t="s">
        <v>41</v>
      </c>
      <c r="AJ17" s="27" t="s">
        <v>41</v>
      </c>
      <c r="AK17" s="27" t="s">
        <v>41</v>
      </c>
      <c r="AL17" s="27" t="s">
        <v>41</v>
      </c>
      <c r="AM17" s="27" t="s">
        <v>41</v>
      </c>
      <c r="AN17" s="27" t="s">
        <v>41</v>
      </c>
      <c r="AO17" s="27" t="s">
        <v>41</v>
      </c>
      <c r="AP17" s="27" t="s">
        <v>41</v>
      </c>
      <c r="AQ17" s="27" t="s">
        <v>41</v>
      </c>
      <c r="AR17" s="28" t="s">
        <v>41</v>
      </c>
      <c r="AS17" s="27" t="s">
        <v>0</v>
      </c>
      <c r="AT17" s="27">
        <v>6</v>
      </c>
      <c r="AU17" s="82">
        <v>0.6</v>
      </c>
      <c r="AV17" s="86">
        <v>2750000</v>
      </c>
      <c r="AW17" s="28" t="s">
        <v>46</v>
      </c>
      <c r="AX17" s="29">
        <f>AVERAGE(O17:Q17)+0.25*MAX(0,(COUNT(U17,W17,Y17,AA17,AC17,AE17,AG17,AI17,AK17,AM17,AO17,AQ17)-3))+IF(AU17&gt;0.55,0.25,0)+IF(MAX(U17,W17,Y17,AA17,AC17,AE17,AG17,AI17,AK17,AM17,AO17,AQ17)&gt;5,0.25,0)</f>
        <v>6.916666666666667</v>
      </c>
      <c r="AY17" s="30" t="str">
        <f>IF(AX17&gt;9,"SuperStar",IF(AX17&gt;8,"Star",IF(AX17&gt;6.5,"GoodReg",IF(AX17&gt;5,"Reg",IF(AX17&gt;4,"Bench","Minors")))))</f>
        <v>GoodReg</v>
      </c>
      <c r="AZ17" s="30">
        <f>AVERAGE(R17:T17)+0.25*MAX(0,(COUNT(V17,X17,Z17,AB17,AD17,AF17,AH17,AJ17,AL17,AN17,AP17,AR17)-3))+IF(AU17&gt;0.55,0.25,0)+IF(MAX(V17,X17,Z17,AB17,AD17,AF17,AH17,AJ17,AL17,AN17,AP17,AR17)&gt;5,0.25,0)</f>
        <v>6.916666666666667</v>
      </c>
      <c r="BA17" s="30" t="str">
        <f>IF(AZ17&gt;9,"SuperStar",IF(AZ17&gt;8,"Star",IF(AZ17&gt;6.5,"GoodReg",IF(AZ17&gt;5,"Reg",IF(AZ17&gt;4,"Bench","Minors")))))</f>
        <v>GoodReg</v>
      </c>
      <c r="BB17" s="30">
        <f>MIN(AX17+(MAX(0,25-S17))^1.5,AZ17)</f>
        <v>6.916666666666667</v>
      </c>
      <c r="BC17" s="30" t="str">
        <f>IF(BB17&gt;9,"SuperStar",IF(BB17&gt;8,"Star",IF(BB17&gt;6.5,"GoodReg",IF(BB17&gt;5,"Reg",IF(BB17&gt;4,"Bench","Minors")))))</f>
        <v>GoodReg</v>
      </c>
      <c r="BD17" s="108">
        <f>COUNT(U17:AR17)/2</f>
        <v>3</v>
      </c>
      <c r="BE17" s="109">
        <f>COUNTIF(U17:AR17,"&gt;5")/2</f>
        <v>0</v>
      </c>
      <c r="BF17" s="27" t="str">
        <f>IF(AW17=1,"Yes","")</f>
        <v/>
      </c>
      <c r="BG17" s="27" t="str">
        <f>IF(A17="ML","There",IF(AVERAGE($R17:$T17)&gt;=6,"Likely",IF(AVERAGE($R17:$T17)&gt;=4,"Possible","Unlikely")))</f>
        <v>There</v>
      </c>
      <c r="BH17" t="str">
        <f>IF(AVERAGE(O17:Q17)&gt;=5.5,"ML",IF(AVERAGE(O17:Q17)&gt;=4.5,"AAA",IF(AVERAGE(O17:Q17)&gt;=4,"AA",IF(AVERAGE(O17:Q17)&gt;=3.5,"A","SS-A"))))</f>
        <v>ML</v>
      </c>
      <c r="BI17">
        <f>SUM(O17:Q17)</f>
        <v>20</v>
      </c>
      <c r="BJ17">
        <f>SUM(R17:T17)</f>
        <v>20</v>
      </c>
      <c r="BK17">
        <f>O17-R17</f>
        <v>0</v>
      </c>
      <c r="BL17">
        <f>P17-S17</f>
        <v>0</v>
      </c>
      <c r="BM17">
        <f>Q17-T17</f>
        <v>0</v>
      </c>
      <c r="BN17">
        <f>SUM(BK17:BM17)</f>
        <v>0</v>
      </c>
    </row>
    <row r="18" spans="1:66">
      <c r="A18" s="96" t="s">
        <v>212</v>
      </c>
      <c r="B18" t="s">
        <v>110</v>
      </c>
      <c r="C18" t="str">
        <f>IF(OR(OR(M18="Very High",M18="High"),AND(OR(M18="Very High",M18="High",M18="Normal"),OR(N18="Very High",N18="High"))),"K","T")</f>
        <v>K</v>
      </c>
      <c r="D18" s="27" t="s">
        <v>110</v>
      </c>
      <c r="E18" s="27" t="s">
        <v>453</v>
      </c>
      <c r="F18" s="27" t="s">
        <v>25</v>
      </c>
      <c r="G18" s="27" t="s">
        <v>212</v>
      </c>
      <c r="H18" s="27">
        <v>27</v>
      </c>
      <c r="I18" s="27" t="s">
        <v>107</v>
      </c>
      <c r="J18" s="28" t="s">
        <v>107</v>
      </c>
      <c r="K18" s="27" t="s">
        <v>42</v>
      </c>
      <c r="L18" s="27" t="s">
        <v>40</v>
      </c>
      <c r="M18" s="27" t="s">
        <v>229</v>
      </c>
      <c r="N18" s="28" t="s">
        <v>230</v>
      </c>
      <c r="O18" s="27">
        <v>4</v>
      </c>
      <c r="P18" s="27">
        <v>8</v>
      </c>
      <c r="Q18" s="28">
        <v>7</v>
      </c>
      <c r="R18" s="27">
        <v>4</v>
      </c>
      <c r="S18" s="27">
        <v>8</v>
      </c>
      <c r="T18" s="28">
        <v>7</v>
      </c>
      <c r="U18" s="27">
        <v>5</v>
      </c>
      <c r="V18" s="27">
        <v>5</v>
      </c>
      <c r="W18" s="27" t="s">
        <v>41</v>
      </c>
      <c r="X18" s="27" t="s">
        <v>41</v>
      </c>
      <c r="Y18" s="27" t="s">
        <v>41</v>
      </c>
      <c r="Z18" s="27" t="s">
        <v>41</v>
      </c>
      <c r="AA18" s="27">
        <v>4</v>
      </c>
      <c r="AB18" s="27">
        <v>4</v>
      </c>
      <c r="AC18" s="27" t="s">
        <v>41</v>
      </c>
      <c r="AD18" s="27" t="s">
        <v>41</v>
      </c>
      <c r="AE18" s="27" t="s">
        <v>41</v>
      </c>
      <c r="AF18" s="27" t="s">
        <v>41</v>
      </c>
      <c r="AG18" s="27" t="s">
        <v>41</v>
      </c>
      <c r="AH18" s="27" t="s">
        <v>41</v>
      </c>
      <c r="AI18" s="27" t="s">
        <v>41</v>
      </c>
      <c r="AJ18" s="27" t="s">
        <v>41</v>
      </c>
      <c r="AK18" s="27" t="s">
        <v>41</v>
      </c>
      <c r="AL18" s="27" t="s">
        <v>41</v>
      </c>
      <c r="AM18" s="27" t="s">
        <v>41</v>
      </c>
      <c r="AN18" s="27" t="s">
        <v>41</v>
      </c>
      <c r="AO18" s="27" t="s">
        <v>41</v>
      </c>
      <c r="AP18" s="27" t="s">
        <v>41</v>
      </c>
      <c r="AQ18" s="27" t="s">
        <v>41</v>
      </c>
      <c r="AR18" s="28" t="s">
        <v>41</v>
      </c>
      <c r="AS18" s="27" t="s">
        <v>2</v>
      </c>
      <c r="AT18" s="27">
        <v>2</v>
      </c>
      <c r="AU18" s="82">
        <v>0.67</v>
      </c>
      <c r="AV18" s="86">
        <v>490000</v>
      </c>
      <c r="AW18" s="28" t="s">
        <v>46</v>
      </c>
      <c r="AX18" s="29">
        <f>AVERAGE(O18:Q18)+0.25*MAX(0,(COUNT(U18,W18,Y18,AA18,AC18,AE18,AG18,AI18,AK18,AM18,AO18,AQ18)-3))+IF(AU18&gt;0.55,0.25,0)+IF(MAX(U18,W18,Y18,AA18,AC18,AE18,AG18,AI18,AK18,AM18,AO18,AQ18)&gt;5,0.25,0)</f>
        <v>6.583333333333333</v>
      </c>
      <c r="AY18" s="30" t="str">
        <f>IF(AX18&gt;9,"SuperStar",IF(AX18&gt;8,"Star",IF(AX18&gt;6.5,"GoodReg",IF(AX18&gt;5,"Reg",IF(AX18&gt;4,"Bench","Minors")))))</f>
        <v>GoodReg</v>
      </c>
      <c r="AZ18" s="30">
        <f>AVERAGE(R18:T18)+0.25*MAX(0,(COUNT(V18,X18,Z18,AB18,AD18,AF18,AH18,AJ18,AL18,AN18,AP18,AR18)-3))+IF(AU18&gt;0.55,0.25,0)+IF(MAX(V18,X18,Z18,AB18,AD18,AF18,AH18,AJ18,AL18,AN18,AP18,AR18)&gt;5,0.25,0)</f>
        <v>6.583333333333333</v>
      </c>
      <c r="BA18" s="30" t="str">
        <f>IF(AZ18&gt;9,"SuperStar",IF(AZ18&gt;8,"Star",IF(AZ18&gt;6.5,"GoodReg",IF(AZ18&gt;5,"Reg",IF(AZ18&gt;4,"Bench","Minors")))))</f>
        <v>GoodReg</v>
      </c>
      <c r="BB18" s="30">
        <f>MIN(AX18+(MAX(0,25-S18))^1.5,AZ18)</f>
        <v>6.583333333333333</v>
      </c>
      <c r="BC18" s="30" t="str">
        <f>IF(BB18&gt;9,"SuperStar",IF(BB18&gt;8,"Star",IF(BB18&gt;6.5,"GoodReg",IF(BB18&gt;5,"Reg",IF(BB18&gt;4,"Bench","Minors")))))</f>
        <v>GoodReg</v>
      </c>
      <c r="BD18" s="108">
        <f>COUNT(U18:AR18)/2</f>
        <v>2</v>
      </c>
      <c r="BE18" s="109">
        <f>COUNTIF(U18:AR18,"&gt;5")/2</f>
        <v>0</v>
      </c>
      <c r="BF18" s="27" t="str">
        <f>IF(AW18=1,"Yes","")</f>
        <v/>
      </c>
      <c r="BG18" s="27" t="str">
        <f>IF(A18="ML","There",IF(AVERAGE($R18:$T18)&gt;=6,"Likely",IF(AVERAGE($R18:$T18)&gt;=4,"Possible","Unlikely")))</f>
        <v>There</v>
      </c>
      <c r="BH18" t="str">
        <f>IF(AVERAGE(O18:Q18)&gt;=5.5,"ML",IF(AVERAGE(O18:Q18)&gt;=4.5,"AAA",IF(AVERAGE(O18:Q18)&gt;=4,"AA",IF(AVERAGE(O18:Q18)&gt;=3.5,"A","SS-A"))))</f>
        <v>ML</v>
      </c>
      <c r="BI18">
        <f>SUM(O18:Q18)</f>
        <v>19</v>
      </c>
      <c r="BJ18">
        <f>SUM(R18:T18)</f>
        <v>19</v>
      </c>
      <c r="BK18">
        <f>O18-R18</f>
        <v>0</v>
      </c>
      <c r="BL18">
        <f>P18-S18</f>
        <v>0</v>
      </c>
      <c r="BM18">
        <f>Q18-T18</f>
        <v>0</v>
      </c>
      <c r="BN18">
        <f>SUM(BK18:BM18)</f>
        <v>0</v>
      </c>
    </row>
    <row r="19" spans="1:66">
      <c r="A19" s="96" t="s">
        <v>212</v>
      </c>
      <c r="B19" t="s">
        <v>110</v>
      </c>
      <c r="C19" t="str">
        <f>IF(OR(OR(M19="Very High",M19="High"),AND(OR(M19="Very High",M19="High",M19="Normal"),OR(N19="Very High",N19="High"))),"K","T")</f>
        <v>K</v>
      </c>
      <c r="D19" s="27" t="s">
        <v>110</v>
      </c>
      <c r="E19" s="27" t="s">
        <v>17</v>
      </c>
      <c r="F19" s="27" t="s">
        <v>25</v>
      </c>
      <c r="G19" s="27" t="s">
        <v>212</v>
      </c>
      <c r="H19" s="27">
        <v>25</v>
      </c>
      <c r="I19" s="27" t="s">
        <v>107</v>
      </c>
      <c r="J19" s="28" t="s">
        <v>106</v>
      </c>
      <c r="K19" s="27" t="s">
        <v>42</v>
      </c>
      <c r="L19" s="27" t="s">
        <v>40</v>
      </c>
      <c r="M19" s="27" t="s">
        <v>230</v>
      </c>
      <c r="N19" s="28" t="s">
        <v>229</v>
      </c>
      <c r="O19" s="27">
        <v>6</v>
      </c>
      <c r="P19" s="27">
        <v>7</v>
      </c>
      <c r="Q19" s="28">
        <v>6</v>
      </c>
      <c r="R19" s="27">
        <v>6</v>
      </c>
      <c r="S19" s="27">
        <v>7</v>
      </c>
      <c r="T19" s="28">
        <v>6</v>
      </c>
      <c r="U19" s="27">
        <v>7</v>
      </c>
      <c r="V19" s="27">
        <v>7</v>
      </c>
      <c r="W19" s="27" t="s">
        <v>41</v>
      </c>
      <c r="X19" s="27" t="s">
        <v>41</v>
      </c>
      <c r="Y19" s="27" t="s">
        <v>41</v>
      </c>
      <c r="Z19" s="27" t="s">
        <v>41</v>
      </c>
      <c r="AA19" s="27" t="s">
        <v>41</v>
      </c>
      <c r="AB19" s="27" t="s">
        <v>41</v>
      </c>
      <c r="AC19" s="27" t="s">
        <v>41</v>
      </c>
      <c r="AD19" s="27" t="s">
        <v>41</v>
      </c>
      <c r="AE19" s="27">
        <v>7</v>
      </c>
      <c r="AF19" s="27">
        <v>7</v>
      </c>
      <c r="AG19" s="27" t="s">
        <v>41</v>
      </c>
      <c r="AH19" s="27" t="s">
        <v>41</v>
      </c>
      <c r="AI19" s="27" t="s">
        <v>41</v>
      </c>
      <c r="AJ19" s="27" t="s">
        <v>41</v>
      </c>
      <c r="AK19" s="27" t="s">
        <v>41</v>
      </c>
      <c r="AL19" s="27" t="s">
        <v>41</v>
      </c>
      <c r="AM19" s="27" t="s">
        <v>41</v>
      </c>
      <c r="AN19" s="27" t="s">
        <v>41</v>
      </c>
      <c r="AO19" s="27" t="s">
        <v>41</v>
      </c>
      <c r="AP19" s="27" t="s">
        <v>41</v>
      </c>
      <c r="AQ19" s="27" t="s">
        <v>41</v>
      </c>
      <c r="AR19" s="28" t="s">
        <v>41</v>
      </c>
      <c r="AS19" s="27" t="s">
        <v>3</v>
      </c>
      <c r="AT19" s="27">
        <v>1</v>
      </c>
      <c r="AU19" s="82">
        <v>0.51</v>
      </c>
      <c r="AV19" s="86">
        <v>490000</v>
      </c>
      <c r="AW19" s="28" t="s">
        <v>45</v>
      </c>
      <c r="AX19" s="29">
        <f>AVERAGE(O19:Q19)+0.25*MAX(0,(COUNT(U19,W19,Y19,AA19,AC19,AE19,AG19,AI19,AK19,AM19,AO19,AQ19)-3))+IF(AU19&gt;0.55,0.25,0)+IF(MAX(U19,W19,Y19,AA19,AC19,AE19,AG19,AI19,AK19,AM19,AO19,AQ19)&gt;5,0.25,0)</f>
        <v>6.583333333333333</v>
      </c>
      <c r="AY19" s="30" t="str">
        <f>IF(AX19&gt;9,"SuperStar",IF(AX19&gt;8,"Star",IF(AX19&gt;6.5,"GoodReg",IF(AX19&gt;5,"Reg",IF(AX19&gt;4,"Bench","Minors")))))</f>
        <v>GoodReg</v>
      </c>
      <c r="AZ19" s="30">
        <f>AVERAGE(R19:T19)+0.25*MAX(0,(COUNT(V19,X19,Z19,AB19,AD19,AF19,AH19,AJ19,AL19,AN19,AP19,AR19)-3))+IF(AU19&gt;0.55,0.25,0)+IF(MAX(V19,X19,Z19,AB19,AD19,AF19,AH19,AJ19,AL19,AN19,AP19,AR19)&gt;5,0.25,0)</f>
        <v>6.583333333333333</v>
      </c>
      <c r="BA19" s="30" t="str">
        <f>IF(AZ19&gt;9,"SuperStar",IF(AZ19&gt;8,"Star",IF(AZ19&gt;6.5,"GoodReg",IF(AZ19&gt;5,"Reg",IF(AZ19&gt;4,"Bench","Minors")))))</f>
        <v>GoodReg</v>
      </c>
      <c r="BB19" s="30">
        <f>MIN(AX19+(MAX(0,25-S19))^1.5,AZ19)</f>
        <v>6.583333333333333</v>
      </c>
      <c r="BC19" s="30" t="str">
        <f>IF(BB19&gt;9,"SuperStar",IF(BB19&gt;8,"Star",IF(BB19&gt;6.5,"GoodReg",IF(BB19&gt;5,"Reg",IF(BB19&gt;4,"Bench","Minors")))))</f>
        <v>GoodReg</v>
      </c>
      <c r="BD19" s="108">
        <f>COUNT(U19:AR19)/2</f>
        <v>2</v>
      </c>
      <c r="BE19" s="109">
        <f>COUNTIF(U19:AR19,"&gt;5")/2</f>
        <v>2</v>
      </c>
      <c r="BF19" s="27" t="str">
        <f>IF(AW19=1,"Yes","")</f>
        <v/>
      </c>
      <c r="BG19" s="27" t="str">
        <f>IF(A19="ML","There",IF(AVERAGE($R19:$T19)&gt;=6,"Likely",IF(AVERAGE($R19:$T19)&gt;=4,"Possible","Unlikely")))</f>
        <v>There</v>
      </c>
      <c r="BH19" t="str">
        <f>IF(AVERAGE(O19:Q19)&gt;=5.5,"ML",IF(AVERAGE(O19:Q19)&gt;=4.5,"AAA",IF(AVERAGE(O19:Q19)&gt;=4,"AA",IF(AVERAGE(O19:Q19)&gt;=3.5,"A","SS-A"))))</f>
        <v>ML</v>
      </c>
      <c r="BI19">
        <f>SUM(O19:Q19)</f>
        <v>19</v>
      </c>
      <c r="BJ19">
        <f>SUM(R19:T19)</f>
        <v>19</v>
      </c>
      <c r="BK19">
        <f>O19-R19</f>
        <v>0</v>
      </c>
      <c r="BL19">
        <f>P19-S19</f>
        <v>0</v>
      </c>
      <c r="BM19">
        <f>Q19-T19</f>
        <v>0</v>
      </c>
      <c r="BN19">
        <f>SUM(BK19:BM19)</f>
        <v>0</v>
      </c>
    </row>
    <row r="20" spans="1:66">
      <c r="A20" s="96" t="s">
        <v>212</v>
      </c>
      <c r="B20" t="s">
        <v>110</v>
      </c>
      <c r="C20" t="str">
        <f>IF(OR(OR(M20="Very High",M20="High"),AND(OR(M20="Very High",M20="High",M20="Normal"),OR(N20="Very High",N20="High"))),"K","T")</f>
        <v>T</v>
      </c>
      <c r="D20" s="27" t="s">
        <v>110</v>
      </c>
      <c r="E20" s="27" t="s">
        <v>433</v>
      </c>
      <c r="F20" s="27" t="s">
        <v>25</v>
      </c>
      <c r="G20" s="27" t="s">
        <v>212</v>
      </c>
      <c r="H20" s="27">
        <v>23</v>
      </c>
      <c r="I20" s="27" t="s">
        <v>106</v>
      </c>
      <c r="J20" s="28" t="s">
        <v>106</v>
      </c>
      <c r="K20" s="27" t="s">
        <v>42</v>
      </c>
      <c r="L20" s="27" t="s">
        <v>42</v>
      </c>
      <c r="M20" s="27" t="s">
        <v>231</v>
      </c>
      <c r="N20" s="28" t="s">
        <v>230</v>
      </c>
      <c r="O20" s="27">
        <v>8</v>
      </c>
      <c r="P20" s="27">
        <v>6</v>
      </c>
      <c r="Q20" s="28">
        <v>3</v>
      </c>
      <c r="R20" s="27">
        <v>9</v>
      </c>
      <c r="S20" s="27">
        <v>6</v>
      </c>
      <c r="T20" s="28">
        <v>3</v>
      </c>
      <c r="U20" s="27">
        <v>8</v>
      </c>
      <c r="V20" s="27">
        <v>9</v>
      </c>
      <c r="W20" s="27">
        <v>4</v>
      </c>
      <c r="X20" s="27">
        <v>5</v>
      </c>
      <c r="Y20" s="27" t="s">
        <v>41</v>
      </c>
      <c r="Z20" s="27" t="s">
        <v>41</v>
      </c>
      <c r="AA20" s="27">
        <v>6</v>
      </c>
      <c r="AB20" s="27">
        <v>6</v>
      </c>
      <c r="AC20" s="27" t="s">
        <v>41</v>
      </c>
      <c r="AD20" s="27" t="s">
        <v>41</v>
      </c>
      <c r="AE20" s="27" t="s">
        <v>41</v>
      </c>
      <c r="AF20" s="27" t="s">
        <v>41</v>
      </c>
      <c r="AG20" s="27" t="s">
        <v>41</v>
      </c>
      <c r="AH20" s="27" t="s">
        <v>41</v>
      </c>
      <c r="AI20" s="27" t="s">
        <v>41</v>
      </c>
      <c r="AJ20" s="27" t="s">
        <v>41</v>
      </c>
      <c r="AK20" s="27" t="s">
        <v>41</v>
      </c>
      <c r="AL20" s="27" t="s">
        <v>41</v>
      </c>
      <c r="AM20" s="27" t="s">
        <v>41</v>
      </c>
      <c r="AN20" s="27" t="s">
        <v>41</v>
      </c>
      <c r="AO20" s="27" t="s">
        <v>41</v>
      </c>
      <c r="AP20" s="27" t="s">
        <v>41</v>
      </c>
      <c r="AQ20" s="27" t="s">
        <v>41</v>
      </c>
      <c r="AR20" s="28" t="s">
        <v>41</v>
      </c>
      <c r="AS20" s="27" t="s">
        <v>419</v>
      </c>
      <c r="AT20" s="27">
        <v>10</v>
      </c>
      <c r="AU20" s="82">
        <v>0.61</v>
      </c>
      <c r="AV20" s="86">
        <v>828000</v>
      </c>
      <c r="AW20" s="28" t="s">
        <v>45</v>
      </c>
      <c r="AX20" s="29">
        <f>AVERAGE(O20:Q20)+0.25*MAX(0,(COUNT(U20,W20,Y20,AA20,AC20,AE20,AG20,AI20,AK20,AM20,AO20,AQ20)-3))+IF(AU20&gt;0.55,0.25,0)+IF(MAX(U20,W20,Y20,AA20,AC20,AE20,AG20,AI20,AK20,AM20,AO20,AQ20)&gt;5,0.25,0)</f>
        <v>6.166666666666667</v>
      </c>
      <c r="AY20" s="30" t="str">
        <f>IF(AX20&gt;9,"SuperStar",IF(AX20&gt;8,"Star",IF(AX20&gt;6.5,"GoodReg",IF(AX20&gt;5,"Reg",IF(AX20&gt;4,"Bench","Minors")))))</f>
        <v>Reg</v>
      </c>
      <c r="AZ20" s="30">
        <f>AVERAGE(R20:T20)+0.25*MAX(0,(COUNT(V20,X20,Z20,AB20,AD20,AF20,AH20,AJ20,AL20,AN20,AP20,AR20)-3))+IF(AU20&gt;0.55,0.25,0)+IF(MAX(V20,X20,Z20,AB20,AD20,AF20,AH20,AJ20,AL20,AN20,AP20,AR20)&gt;5,0.25,0)</f>
        <v>6.5</v>
      </c>
      <c r="BA20" s="30" t="str">
        <f>IF(AZ20&gt;9,"SuperStar",IF(AZ20&gt;8,"Star",IF(AZ20&gt;6.5,"GoodReg",IF(AZ20&gt;5,"Reg",IF(AZ20&gt;4,"Bench","Minors")))))</f>
        <v>Reg</v>
      </c>
      <c r="BB20" s="30">
        <f>MIN(AX20+(MAX(0,25-S20))^1.5,AZ20)</f>
        <v>6.5</v>
      </c>
      <c r="BC20" s="30" t="str">
        <f>IF(BB20&gt;9,"SuperStar",IF(BB20&gt;8,"Star",IF(BB20&gt;6.5,"GoodReg",IF(BB20&gt;5,"Reg",IF(BB20&gt;4,"Bench","Minors")))))</f>
        <v>Reg</v>
      </c>
      <c r="BD20" s="108">
        <f>COUNT(U20:AR20)/2</f>
        <v>3</v>
      </c>
      <c r="BE20" s="109">
        <f>COUNTIF(U20:AR20,"&gt;5")/2</f>
        <v>2</v>
      </c>
      <c r="BF20" s="27" t="str">
        <f>IF(AW20=1,"Yes","")</f>
        <v/>
      </c>
      <c r="BG20" s="27" t="str">
        <f>IF(A20="ML","There",IF(AVERAGE($R20:$T20)&gt;=6,"Likely",IF(AVERAGE($R20:$T20)&gt;=4,"Possible","Unlikely")))</f>
        <v>There</v>
      </c>
      <c r="BH20" t="str">
        <f>IF(AVERAGE(O20:Q20)&gt;=5.5,"ML",IF(AVERAGE(O20:Q20)&gt;=4.5,"AAA",IF(AVERAGE(O20:Q20)&gt;=4,"AA",IF(AVERAGE(O20:Q20)&gt;=3.5,"A","SS-A"))))</f>
        <v>ML</v>
      </c>
      <c r="BI20">
        <f>SUM(O20:Q20)</f>
        <v>17</v>
      </c>
      <c r="BJ20">
        <f>SUM(R20:T20)</f>
        <v>18</v>
      </c>
      <c r="BK20">
        <f>O20-R20</f>
        <v>-1</v>
      </c>
      <c r="BL20">
        <f>P20-S20</f>
        <v>0</v>
      </c>
      <c r="BM20">
        <f>Q20-T20</f>
        <v>0</v>
      </c>
      <c r="BN20">
        <f>SUM(BK20:BM20)</f>
        <v>-1</v>
      </c>
    </row>
    <row r="21" spans="1:66">
      <c r="A21" s="96" t="s">
        <v>212</v>
      </c>
      <c r="B21" t="s">
        <v>110</v>
      </c>
      <c r="C21" t="str">
        <f>IF(OR(OR(M21="Very High",M21="High"),AND(OR(M21="Very High",M21="High",M21="Normal"),OR(N21="Very High",N21="High"))),"K","T")</f>
        <v>K</v>
      </c>
      <c r="D21" s="27" t="s">
        <v>110</v>
      </c>
      <c r="E21" s="27" t="s">
        <v>49</v>
      </c>
      <c r="F21" s="27" t="s">
        <v>25</v>
      </c>
      <c r="G21" s="27" t="s">
        <v>212</v>
      </c>
      <c r="H21" s="27">
        <v>28</v>
      </c>
      <c r="I21" s="27" t="s">
        <v>107</v>
      </c>
      <c r="J21" s="28" t="s">
        <v>106</v>
      </c>
      <c r="K21" s="27" t="s">
        <v>42</v>
      </c>
      <c r="L21" s="27" t="s">
        <v>40</v>
      </c>
      <c r="M21" s="27" t="s">
        <v>228</v>
      </c>
      <c r="N21" s="28" t="s">
        <v>232</v>
      </c>
      <c r="O21" s="27">
        <v>9</v>
      </c>
      <c r="P21" s="27">
        <v>5</v>
      </c>
      <c r="Q21" s="28">
        <v>3</v>
      </c>
      <c r="R21" s="27">
        <v>9</v>
      </c>
      <c r="S21" s="27">
        <v>5</v>
      </c>
      <c r="T21" s="28">
        <v>4</v>
      </c>
      <c r="U21" s="27">
        <v>9</v>
      </c>
      <c r="V21" s="27">
        <v>9</v>
      </c>
      <c r="W21" s="27">
        <v>7</v>
      </c>
      <c r="X21" s="27">
        <v>7</v>
      </c>
      <c r="Y21" s="27" t="s">
        <v>41</v>
      </c>
      <c r="Z21" s="27" t="s">
        <v>41</v>
      </c>
      <c r="AA21" s="27" t="s">
        <v>41</v>
      </c>
      <c r="AB21" s="27" t="s">
        <v>41</v>
      </c>
      <c r="AC21" s="27" t="s">
        <v>41</v>
      </c>
      <c r="AD21" s="27" t="s">
        <v>41</v>
      </c>
      <c r="AE21" s="27" t="s">
        <v>41</v>
      </c>
      <c r="AF21" s="27" t="s">
        <v>41</v>
      </c>
      <c r="AG21" s="27" t="s">
        <v>41</v>
      </c>
      <c r="AH21" s="27" t="s">
        <v>41</v>
      </c>
      <c r="AI21" s="27" t="s">
        <v>41</v>
      </c>
      <c r="AJ21" s="27" t="s">
        <v>41</v>
      </c>
      <c r="AK21" s="27" t="s">
        <v>41</v>
      </c>
      <c r="AL21" s="27" t="s">
        <v>41</v>
      </c>
      <c r="AM21" s="27">
        <v>4</v>
      </c>
      <c r="AN21" s="27">
        <v>4</v>
      </c>
      <c r="AO21" s="27" t="s">
        <v>41</v>
      </c>
      <c r="AP21" s="27" t="s">
        <v>41</v>
      </c>
      <c r="AQ21" s="27" t="s">
        <v>41</v>
      </c>
      <c r="AR21" s="28" t="s">
        <v>41</v>
      </c>
      <c r="AS21" s="27" t="s">
        <v>14</v>
      </c>
      <c r="AT21" s="27">
        <v>1</v>
      </c>
      <c r="AU21" s="82">
        <v>0.53</v>
      </c>
      <c r="AV21" s="86">
        <v>490000</v>
      </c>
      <c r="AW21" s="28" t="s">
        <v>45</v>
      </c>
      <c r="AX21" s="29">
        <f>AVERAGE(O21:Q21)+0.25*MAX(0,(COUNT(U21,W21,Y21,AA21,AC21,AE21,AG21,AI21,AK21,AM21,AO21,AQ21)-3))+IF(AU21&gt;0.55,0.25,0)+IF(MAX(U21,W21,Y21,AA21,AC21,AE21,AG21,AI21,AK21,AM21,AO21,AQ21)&gt;5,0.25,0)</f>
        <v>5.916666666666667</v>
      </c>
      <c r="AY21" s="30" t="str">
        <f>IF(AX21&gt;9,"SuperStar",IF(AX21&gt;8,"Star",IF(AX21&gt;6.5,"GoodReg",IF(AX21&gt;5,"Reg",IF(AX21&gt;4,"Bench","Minors")))))</f>
        <v>Reg</v>
      </c>
      <c r="AZ21" s="30">
        <f>AVERAGE(R21:T21)+0.25*MAX(0,(COUNT(V21,X21,Z21,AB21,AD21,AF21,AH21,AJ21,AL21,AN21,AP21,AR21)-3))+IF(AU21&gt;0.55,0.25,0)+IF(MAX(V21,X21,Z21,AB21,AD21,AF21,AH21,AJ21,AL21,AN21,AP21,AR21)&gt;5,0.25,0)</f>
        <v>6.25</v>
      </c>
      <c r="BA21" s="30" t="str">
        <f>IF(AZ21&gt;9,"SuperStar",IF(AZ21&gt;8,"Star",IF(AZ21&gt;6.5,"GoodReg",IF(AZ21&gt;5,"Reg",IF(AZ21&gt;4,"Bench","Minors")))))</f>
        <v>Reg</v>
      </c>
      <c r="BB21" s="30">
        <f>MIN(AX21+(MAX(0,25-S21))^1.5,AZ21)</f>
        <v>6.25</v>
      </c>
      <c r="BC21" s="30" t="str">
        <f>IF(BB21&gt;9,"SuperStar",IF(BB21&gt;8,"Star",IF(BB21&gt;6.5,"GoodReg",IF(BB21&gt;5,"Reg",IF(BB21&gt;4,"Bench","Minors")))))</f>
        <v>Reg</v>
      </c>
      <c r="BD21" s="108">
        <f>COUNT(U21:AR21)/2</f>
        <v>3</v>
      </c>
      <c r="BE21" s="109">
        <f>COUNTIF(U21:AR21,"&gt;5")/2</f>
        <v>2</v>
      </c>
      <c r="BF21" s="27" t="str">
        <f>IF(AW21=1,"Yes","")</f>
        <v/>
      </c>
      <c r="BG21" s="27" t="str">
        <f>IF(A21="ML","There",IF(AVERAGE($R21:$T21)&gt;=6,"Likely",IF(AVERAGE($R21:$T21)&gt;=4,"Possible","Unlikely")))</f>
        <v>There</v>
      </c>
      <c r="BH21" t="str">
        <f>IF(AVERAGE(O21:Q21)&gt;=5.5,"ML",IF(AVERAGE(O21:Q21)&gt;=4.5,"AAA",IF(AVERAGE(O21:Q21)&gt;=4,"AA",IF(AVERAGE(O21:Q21)&gt;=3.5,"A","SS-A"))))</f>
        <v>ML</v>
      </c>
      <c r="BI21">
        <f>SUM(O21:Q21)</f>
        <v>17</v>
      </c>
      <c r="BJ21">
        <f>SUM(R21:T21)</f>
        <v>18</v>
      </c>
      <c r="BK21">
        <f>O21-R21</f>
        <v>0</v>
      </c>
      <c r="BL21">
        <f>P21-S21</f>
        <v>0</v>
      </c>
      <c r="BM21">
        <f>Q21-T21</f>
        <v>-1</v>
      </c>
      <c r="BN21">
        <f>SUM(BK21:BM21)</f>
        <v>-1</v>
      </c>
    </row>
    <row r="22" spans="1:66">
      <c r="A22" s="96" t="s">
        <v>212</v>
      </c>
      <c r="B22" t="s">
        <v>112</v>
      </c>
      <c r="C22" t="str">
        <f>IF(OR(OR(M22="Very High",M22="High"),AND(OR(M22="Very High",M22="High",M22="Normal"),OR(N22="Very High",N22="High"))),"K","T")</f>
        <v>K</v>
      </c>
      <c r="D22" s="27" t="s">
        <v>112</v>
      </c>
      <c r="E22" s="27" t="s">
        <v>16</v>
      </c>
      <c r="F22" s="27" t="s">
        <v>25</v>
      </c>
      <c r="G22" s="27" t="s">
        <v>212</v>
      </c>
      <c r="H22" s="27">
        <v>27</v>
      </c>
      <c r="I22" s="27" t="s">
        <v>106</v>
      </c>
      <c r="J22" s="28" t="s">
        <v>107</v>
      </c>
      <c r="K22" s="27" t="s">
        <v>48</v>
      </c>
      <c r="L22" s="27" t="s">
        <v>48</v>
      </c>
      <c r="M22" s="27" t="s">
        <v>229</v>
      </c>
      <c r="N22" s="28" t="s">
        <v>230</v>
      </c>
      <c r="O22" s="27">
        <v>8</v>
      </c>
      <c r="P22" s="27">
        <v>6</v>
      </c>
      <c r="Q22" s="28">
        <v>6</v>
      </c>
      <c r="R22" s="27">
        <v>8</v>
      </c>
      <c r="S22" s="27">
        <v>6</v>
      </c>
      <c r="T22" s="28">
        <v>7</v>
      </c>
      <c r="U22" s="27">
        <v>8</v>
      </c>
      <c r="V22" s="27">
        <v>8</v>
      </c>
      <c r="W22" s="27">
        <v>1</v>
      </c>
      <c r="X22" s="27">
        <v>1</v>
      </c>
      <c r="Y22" s="27" t="s">
        <v>41</v>
      </c>
      <c r="Z22" s="27" t="s">
        <v>41</v>
      </c>
      <c r="AA22" s="27">
        <v>8</v>
      </c>
      <c r="AB22" s="27">
        <v>8</v>
      </c>
      <c r="AC22" s="27" t="s">
        <v>41</v>
      </c>
      <c r="AD22" s="27" t="s">
        <v>41</v>
      </c>
      <c r="AE22" s="27" t="s">
        <v>41</v>
      </c>
      <c r="AF22" s="27" t="s">
        <v>41</v>
      </c>
      <c r="AG22" s="27" t="s">
        <v>41</v>
      </c>
      <c r="AH22" s="27" t="s">
        <v>41</v>
      </c>
      <c r="AI22" s="27" t="s">
        <v>41</v>
      </c>
      <c r="AJ22" s="27" t="s">
        <v>41</v>
      </c>
      <c r="AK22" s="27" t="s">
        <v>41</v>
      </c>
      <c r="AL22" s="27" t="s">
        <v>41</v>
      </c>
      <c r="AM22" s="27" t="s">
        <v>41</v>
      </c>
      <c r="AN22" s="27" t="s">
        <v>41</v>
      </c>
      <c r="AO22" s="27" t="s">
        <v>41</v>
      </c>
      <c r="AP22" s="27" t="s">
        <v>41</v>
      </c>
      <c r="AQ22" s="27" t="s">
        <v>41</v>
      </c>
      <c r="AR22" s="28" t="s">
        <v>41</v>
      </c>
      <c r="AS22" s="27" t="s">
        <v>5</v>
      </c>
      <c r="AT22" s="27">
        <v>4</v>
      </c>
      <c r="AU22" s="82">
        <v>0.36</v>
      </c>
      <c r="AV22" s="86">
        <v>490000</v>
      </c>
      <c r="AW22" s="28" t="s">
        <v>45</v>
      </c>
      <c r="AX22" s="29">
        <f>AVERAGE(O22:Q22)+0.25*MAX(0,(COUNT(U22,W22,Y22,AA22,AC22,AE22,AG22,AI22,AK22,AM22,AO22,AQ22)-3))+IF(AU22&gt;0.55,0.25,0)+IF(MAX(U22,W22,Y22,AA22,AC22,AE22,AG22,AI22,AK22,AM22,AO22,AQ22)&gt;5,0.25,0)</f>
        <v>6.916666666666667</v>
      </c>
      <c r="AY22" s="30" t="str">
        <f>IF(AX22&gt;9,"SuperStar",IF(AX22&gt;8,"Star",IF(AX22&gt;6.5,"GoodReg",IF(AX22&gt;5,"Reg",IF(AX22&gt;4,"Bench","Minors")))))</f>
        <v>GoodReg</v>
      </c>
      <c r="AZ22" s="30">
        <f>AVERAGE(R22:T22)+0.25*MAX(0,(COUNT(V22,X22,Z22,AB22,AD22,AF22,AH22,AJ22,AL22,AN22,AP22,AR22)-3))+IF(AU22&gt;0.55,0.25,0)+IF(MAX(V22,X22,Z22,AB22,AD22,AF22,AH22,AJ22,AL22,AN22,AP22,AR22)&gt;5,0.25,0)</f>
        <v>7.25</v>
      </c>
      <c r="BA22" s="30" t="str">
        <f>IF(AZ22&gt;9,"SuperStar",IF(AZ22&gt;8,"Star",IF(AZ22&gt;6.5,"GoodReg",IF(AZ22&gt;5,"Reg",IF(AZ22&gt;4,"Bench","Minors")))))</f>
        <v>GoodReg</v>
      </c>
      <c r="BB22" s="30">
        <f>MIN(AX22+(MAX(0,25-S22))^1.5,AZ22)</f>
        <v>7.25</v>
      </c>
      <c r="BC22" s="30" t="str">
        <f>IF(BB22&gt;9,"SuperStar",IF(BB22&gt;8,"Star",IF(BB22&gt;6.5,"GoodReg",IF(BB22&gt;5,"Reg",IF(BB22&gt;4,"Bench","Minors")))))</f>
        <v>GoodReg</v>
      </c>
      <c r="BD22" s="108">
        <f>COUNT(U22:AR22)/2</f>
        <v>3</v>
      </c>
      <c r="BE22" s="109">
        <f>COUNTIF(U22:AR22,"&gt;5")/2</f>
        <v>2</v>
      </c>
      <c r="BF22" s="27" t="str">
        <f>IF(AW22=1,"Yes","")</f>
        <v/>
      </c>
      <c r="BG22" s="27" t="str">
        <f>IF(A22="ML","There",IF(AVERAGE($R22:$T22)&gt;=6,"Likely",IF(AVERAGE($R22:$T22)&gt;=4,"Possible","Unlikely")))</f>
        <v>There</v>
      </c>
      <c r="BH22" t="str">
        <f>IF(AVERAGE(O22:Q22)&gt;=5.5,"ML",IF(AVERAGE(O22:Q22)&gt;=4.5,"AAA",IF(AVERAGE(O22:Q22)&gt;=4,"AA",IF(AVERAGE(O22:Q22)&gt;=3.5,"A","SS-A"))))</f>
        <v>ML</v>
      </c>
      <c r="BI22">
        <f>SUM(O22:Q22)</f>
        <v>20</v>
      </c>
      <c r="BJ22">
        <f>SUM(R22:T22)</f>
        <v>21</v>
      </c>
      <c r="BK22">
        <f>O22-R22</f>
        <v>0</v>
      </c>
      <c r="BL22">
        <f>P22-S22</f>
        <v>0</v>
      </c>
      <c r="BM22">
        <f>Q22-T22</f>
        <v>-1</v>
      </c>
      <c r="BN22">
        <f>SUM(BK22:BM22)</f>
        <v>-1</v>
      </c>
    </row>
    <row r="23" spans="1:66">
      <c r="A23" s="96" t="s">
        <v>213</v>
      </c>
      <c r="B23" t="s">
        <v>111</v>
      </c>
      <c r="C23" t="str">
        <f>IF(OR(OR(M23="Very High",M23="High"),AND(OR(M23="Very High",M23="High",M23="Normal"),OR(N23="Very High",N23="High"))),"K","T")</f>
        <v>T</v>
      </c>
      <c r="D23" s="27" t="s">
        <v>111</v>
      </c>
      <c r="E23" s="27" t="s">
        <v>454</v>
      </c>
      <c r="F23" s="27" t="s">
        <v>384</v>
      </c>
      <c r="G23" s="27" t="s">
        <v>213</v>
      </c>
      <c r="H23" s="27">
        <v>33</v>
      </c>
      <c r="I23" s="27" t="s">
        <v>107</v>
      </c>
      <c r="J23" s="28" t="s">
        <v>107</v>
      </c>
      <c r="K23" s="27" t="s">
        <v>42</v>
      </c>
      <c r="L23" s="27" t="s">
        <v>42</v>
      </c>
      <c r="M23" s="27" t="s">
        <v>232</v>
      </c>
      <c r="N23" s="28" t="s">
        <v>231</v>
      </c>
      <c r="O23" s="27">
        <v>6</v>
      </c>
      <c r="P23" s="27">
        <v>5</v>
      </c>
      <c r="Q23" s="28">
        <v>6</v>
      </c>
      <c r="R23" s="27">
        <v>6</v>
      </c>
      <c r="S23" s="27">
        <v>5</v>
      </c>
      <c r="T23" s="28">
        <v>6</v>
      </c>
      <c r="U23" s="27">
        <v>5</v>
      </c>
      <c r="V23" s="27">
        <v>5</v>
      </c>
      <c r="W23" s="27">
        <v>5</v>
      </c>
      <c r="X23" s="27">
        <v>5</v>
      </c>
      <c r="Y23" s="27" t="s">
        <v>41</v>
      </c>
      <c r="Z23" s="27" t="s">
        <v>41</v>
      </c>
      <c r="AA23" s="27">
        <v>5</v>
      </c>
      <c r="AB23" s="27">
        <v>5</v>
      </c>
      <c r="AC23" s="27">
        <v>5</v>
      </c>
      <c r="AD23" s="27">
        <v>5</v>
      </c>
      <c r="AE23" s="27">
        <v>5</v>
      </c>
      <c r="AF23" s="27">
        <v>5</v>
      </c>
      <c r="AG23" s="27">
        <v>5</v>
      </c>
      <c r="AH23" s="27">
        <v>5</v>
      </c>
      <c r="AI23" s="27" t="s">
        <v>41</v>
      </c>
      <c r="AJ23" s="27" t="s">
        <v>41</v>
      </c>
      <c r="AK23" s="27" t="s">
        <v>41</v>
      </c>
      <c r="AL23" s="27" t="s">
        <v>41</v>
      </c>
      <c r="AM23" s="27" t="s">
        <v>41</v>
      </c>
      <c r="AN23" s="27" t="s">
        <v>41</v>
      </c>
      <c r="AO23" s="27">
        <v>5</v>
      </c>
      <c r="AP23" s="27">
        <v>5</v>
      </c>
      <c r="AQ23" s="27" t="s">
        <v>41</v>
      </c>
      <c r="AR23" s="28" t="s">
        <v>41</v>
      </c>
      <c r="AS23" s="27" t="s">
        <v>6</v>
      </c>
      <c r="AT23" s="27">
        <v>9</v>
      </c>
      <c r="AU23" s="82">
        <v>0.65</v>
      </c>
      <c r="AV23" s="86">
        <v>490000</v>
      </c>
      <c r="AW23" s="28" t="s">
        <v>45</v>
      </c>
      <c r="AX23" s="29">
        <f>AVERAGE(O23:Q23)+0.25*MAX(0,(COUNT(U23,W23,Y23,AA23,AC23,AE23,AG23,AI23,AK23,AM23,AO23,AQ23)-3))+IF(AU23&gt;0.55,0.25,0)+IF(MAX(U23,W23,Y23,AA23,AC23,AE23,AG23,AI23,AK23,AM23,AO23,AQ23)&gt;5,0.25,0)</f>
        <v>6.916666666666667</v>
      </c>
      <c r="AY23" s="30" t="str">
        <f>IF(AX23&gt;9,"SuperStar",IF(AX23&gt;8,"Star",IF(AX23&gt;6.5,"GoodReg",IF(AX23&gt;5,"Reg",IF(AX23&gt;4,"Bench","Minors")))))</f>
        <v>GoodReg</v>
      </c>
      <c r="AZ23" s="30">
        <f>AVERAGE(R23:T23)+0.25*MAX(0,(COUNT(V23,X23,Z23,AB23,AD23,AF23,AH23,AJ23,AL23,AN23,AP23,AR23)-3))+IF(AU23&gt;0.55,0.25,0)+IF(MAX(V23,X23,Z23,AB23,AD23,AF23,AH23,AJ23,AL23,AN23,AP23,AR23)&gt;5,0.25,0)</f>
        <v>6.916666666666667</v>
      </c>
      <c r="BA23" s="30" t="str">
        <f>IF(AZ23&gt;9,"SuperStar",IF(AZ23&gt;8,"Star",IF(AZ23&gt;6.5,"GoodReg",IF(AZ23&gt;5,"Reg",IF(AZ23&gt;4,"Bench","Minors")))))</f>
        <v>GoodReg</v>
      </c>
      <c r="BB23" s="30">
        <f>MIN(AX23+(MAX(0,25-S23))^1.5,AZ23)</f>
        <v>6.916666666666667</v>
      </c>
      <c r="BC23" s="30" t="str">
        <f>IF(BB23&gt;9,"SuperStar",IF(BB23&gt;8,"Star",IF(BB23&gt;6.5,"GoodReg",IF(BB23&gt;5,"Reg",IF(BB23&gt;4,"Bench","Minors")))))</f>
        <v>GoodReg</v>
      </c>
      <c r="BD23" s="108">
        <f>COUNT(U23:AR23)/2</f>
        <v>7</v>
      </c>
      <c r="BE23" s="109">
        <f>COUNTIF(U23:AR23,"&gt;5")/2</f>
        <v>0</v>
      </c>
      <c r="BF23" s="27" t="str">
        <f>IF(AW23=1,"Yes","")</f>
        <v/>
      </c>
      <c r="BG23" s="27" t="str">
        <f>IF(A23="ML","There",IF(AVERAGE($R23:$T23)&gt;=6,"Likely",IF(AVERAGE($R23:$T23)&gt;=4,"Possible","Unlikely")))</f>
        <v>Possible</v>
      </c>
      <c r="BH23" t="str">
        <f>IF(AVERAGE(O23:Q23)&gt;=5.5,"ML",IF(AVERAGE(O23:Q23)&gt;=4.5,"AAA",IF(AVERAGE(O23:Q23)&gt;=4,"AA",IF(AVERAGE(O23:Q23)&gt;=3.5,"A","SS-A"))))</f>
        <v>ML</v>
      </c>
      <c r="BI23">
        <f>SUM(O23:Q23)</f>
        <v>17</v>
      </c>
      <c r="BJ23">
        <f>SUM(R23:T23)</f>
        <v>17</v>
      </c>
      <c r="BK23">
        <f>O23-R23</f>
        <v>0</v>
      </c>
      <c r="BL23">
        <f>P23-S23</f>
        <v>0</v>
      </c>
      <c r="BM23">
        <f>Q23-T23</f>
        <v>0</v>
      </c>
      <c r="BN23">
        <f>SUM(BK23:BM23)</f>
        <v>0</v>
      </c>
    </row>
    <row r="24" spans="1:66">
      <c r="A24" s="96" t="s">
        <v>213</v>
      </c>
      <c r="B24" t="s">
        <v>111</v>
      </c>
      <c r="C24" t="str">
        <f>IF(OR(OR(M24="Very High",M24="High"),AND(OR(M24="Very High",M24="High",M24="Normal"),OR(N24="Very High",N24="High"))),"K","T")</f>
        <v>T</v>
      </c>
      <c r="D24" s="27" t="s">
        <v>111</v>
      </c>
      <c r="E24" s="27" t="s">
        <v>585</v>
      </c>
      <c r="F24" s="27" t="s">
        <v>384</v>
      </c>
      <c r="G24" s="27" t="s">
        <v>213</v>
      </c>
      <c r="H24" s="27">
        <v>27</v>
      </c>
      <c r="I24" s="27" t="s">
        <v>107</v>
      </c>
      <c r="J24" s="28" t="s">
        <v>107</v>
      </c>
      <c r="K24" s="27" t="s">
        <v>42</v>
      </c>
      <c r="L24" s="27" t="s">
        <v>42</v>
      </c>
      <c r="M24" s="27" t="s">
        <v>230</v>
      </c>
      <c r="N24" s="28" t="s">
        <v>230</v>
      </c>
      <c r="O24" s="27">
        <v>5</v>
      </c>
      <c r="P24" s="27">
        <v>7</v>
      </c>
      <c r="Q24" s="28">
        <v>5</v>
      </c>
      <c r="R24" s="27">
        <v>5</v>
      </c>
      <c r="S24" s="27">
        <v>7</v>
      </c>
      <c r="T24" s="28">
        <v>5</v>
      </c>
      <c r="U24" s="27">
        <v>6</v>
      </c>
      <c r="V24" s="27">
        <v>6</v>
      </c>
      <c r="W24" s="27">
        <v>5</v>
      </c>
      <c r="X24" s="27">
        <v>5</v>
      </c>
      <c r="Y24" s="27" t="s">
        <v>41</v>
      </c>
      <c r="Z24" s="27" t="s">
        <v>41</v>
      </c>
      <c r="AA24" s="27">
        <v>5</v>
      </c>
      <c r="AB24" s="27">
        <v>5</v>
      </c>
      <c r="AC24" s="27">
        <v>6</v>
      </c>
      <c r="AD24" s="27">
        <v>6</v>
      </c>
      <c r="AE24" s="27" t="s">
        <v>41</v>
      </c>
      <c r="AF24" s="27" t="s">
        <v>41</v>
      </c>
      <c r="AG24" s="27" t="s">
        <v>41</v>
      </c>
      <c r="AH24" s="27" t="s">
        <v>41</v>
      </c>
      <c r="AI24" s="27" t="s">
        <v>41</v>
      </c>
      <c r="AJ24" s="27" t="s">
        <v>41</v>
      </c>
      <c r="AK24" s="27" t="s">
        <v>41</v>
      </c>
      <c r="AL24" s="27" t="s">
        <v>41</v>
      </c>
      <c r="AM24" s="27" t="s">
        <v>41</v>
      </c>
      <c r="AN24" s="27" t="s">
        <v>41</v>
      </c>
      <c r="AO24" s="27" t="s">
        <v>41</v>
      </c>
      <c r="AP24" s="27" t="s">
        <v>41</v>
      </c>
      <c r="AQ24" s="27" t="s">
        <v>41</v>
      </c>
      <c r="AR24" s="28" t="s">
        <v>41</v>
      </c>
      <c r="AS24" s="27" t="s">
        <v>2</v>
      </c>
      <c r="AT24" s="27">
        <v>9</v>
      </c>
      <c r="AU24" s="82">
        <v>0.6</v>
      </c>
      <c r="AV24" s="86" t="s">
        <v>41</v>
      </c>
      <c r="AW24" s="28">
        <v>0</v>
      </c>
      <c r="AX24" s="29">
        <f>AVERAGE(O24:Q24)+0.25*MAX(0,(COUNT(U24,W24,Y24,AA24,AC24,AE24,AG24,AI24,AK24,AM24,AO24,AQ24)-3))+IF(AU24&gt;0.55,0.25,0)+IF(MAX(U24,W24,Y24,AA24,AC24,AE24,AG24,AI24,AK24,AM24,AO24,AQ24)&gt;5,0.25,0)</f>
        <v>6.416666666666667</v>
      </c>
      <c r="AY24" s="30" t="str">
        <f>IF(AX24&gt;9,"SuperStar",IF(AX24&gt;8,"Star",IF(AX24&gt;6.5,"GoodReg",IF(AX24&gt;5,"Reg",IF(AX24&gt;4,"Bench","Minors")))))</f>
        <v>Reg</v>
      </c>
      <c r="AZ24" s="30">
        <f>AVERAGE(R24:T24)+0.25*MAX(0,(COUNT(V24,X24,Z24,AB24,AD24,AF24,AH24,AJ24,AL24,AN24,AP24,AR24)-3))+IF(AU24&gt;0.55,0.25,0)+IF(MAX(V24,X24,Z24,AB24,AD24,AF24,AH24,AJ24,AL24,AN24,AP24,AR24)&gt;5,0.25,0)</f>
        <v>6.416666666666667</v>
      </c>
      <c r="BA24" s="30" t="str">
        <f>IF(AZ24&gt;9,"SuperStar",IF(AZ24&gt;8,"Star",IF(AZ24&gt;6.5,"GoodReg",IF(AZ24&gt;5,"Reg",IF(AZ24&gt;4,"Bench","Minors")))))</f>
        <v>Reg</v>
      </c>
      <c r="BB24" s="30">
        <f>MIN(AX24+(MAX(0,25-S24))^1.5,AZ24)</f>
        <v>6.416666666666667</v>
      </c>
      <c r="BC24" s="30" t="str">
        <f>IF(BB24&gt;9,"SuperStar",IF(BB24&gt;8,"Star",IF(BB24&gt;6.5,"GoodReg",IF(BB24&gt;5,"Reg",IF(BB24&gt;4,"Bench","Minors")))))</f>
        <v>Reg</v>
      </c>
      <c r="BD24" s="108">
        <f>COUNT(U24:AR24)/2</f>
        <v>4</v>
      </c>
      <c r="BE24" s="109">
        <f>COUNTIF(U24:AR24,"&gt;5")/2</f>
        <v>2</v>
      </c>
      <c r="BF24" s="27" t="str">
        <f>IF(AW24=1,"Yes","")</f>
        <v/>
      </c>
      <c r="BG24" s="27" t="str">
        <f>IF(A24="ML","There",IF(AVERAGE($R24:$T24)&gt;=6,"Likely",IF(AVERAGE($R24:$T24)&gt;=4,"Possible","Unlikely")))</f>
        <v>Possible</v>
      </c>
      <c r="BH24" t="str">
        <f>IF(AVERAGE(O24:Q24)&gt;=5.5,"ML",IF(AVERAGE(O24:Q24)&gt;=4.5,"AAA",IF(AVERAGE(O24:Q24)&gt;=4,"AA",IF(AVERAGE(O24:Q24)&gt;=3.5,"A","SS-A"))))</f>
        <v>ML</v>
      </c>
      <c r="BI24">
        <f>SUM(O24:Q24)</f>
        <v>17</v>
      </c>
      <c r="BJ24">
        <f>SUM(R24:T24)</f>
        <v>17</v>
      </c>
      <c r="BK24">
        <f>O24-R24</f>
        <v>0</v>
      </c>
      <c r="BL24">
        <f>P24-S24</f>
        <v>0</v>
      </c>
      <c r="BM24">
        <f>Q24-T24</f>
        <v>0</v>
      </c>
      <c r="BN24">
        <f>SUM(BK24:BM24)</f>
        <v>0</v>
      </c>
    </row>
    <row r="25" spans="1:66">
      <c r="A25" s="96" t="s">
        <v>213</v>
      </c>
      <c r="B25" t="s">
        <v>111</v>
      </c>
      <c r="C25" t="str">
        <f>IF(OR(OR(M25="Very High",M25="High"),AND(OR(M25="Very High",M25="High",M25="Normal"),OR(N25="Very High",N25="High"))),"K","T")</f>
        <v>T</v>
      </c>
      <c r="D25" s="27" t="s">
        <v>111</v>
      </c>
      <c r="E25" s="27" t="s">
        <v>447</v>
      </c>
      <c r="F25" s="27" t="s">
        <v>384</v>
      </c>
      <c r="G25" s="27" t="s">
        <v>213</v>
      </c>
      <c r="H25" s="27">
        <v>25</v>
      </c>
      <c r="I25" s="27" t="s">
        <v>107</v>
      </c>
      <c r="J25" s="28" t="s">
        <v>107</v>
      </c>
      <c r="K25" s="27" t="s">
        <v>42</v>
      </c>
      <c r="L25" s="27" t="s">
        <v>42</v>
      </c>
      <c r="M25" s="27" t="s">
        <v>231</v>
      </c>
      <c r="N25" s="28" t="s">
        <v>229</v>
      </c>
      <c r="O25" s="27">
        <v>6</v>
      </c>
      <c r="P25" s="27">
        <v>7</v>
      </c>
      <c r="Q25" s="28">
        <v>3</v>
      </c>
      <c r="R25" s="27">
        <v>6</v>
      </c>
      <c r="S25" s="27">
        <v>7</v>
      </c>
      <c r="T25" s="28">
        <v>3</v>
      </c>
      <c r="U25" s="27">
        <v>8</v>
      </c>
      <c r="V25" s="27">
        <v>8</v>
      </c>
      <c r="W25" s="27">
        <v>3</v>
      </c>
      <c r="X25" s="27">
        <v>3</v>
      </c>
      <c r="Y25" s="27">
        <v>8</v>
      </c>
      <c r="Z25" s="27">
        <v>8</v>
      </c>
      <c r="AA25" s="27" t="s">
        <v>41</v>
      </c>
      <c r="AB25" s="27" t="s">
        <v>41</v>
      </c>
      <c r="AC25" s="27" t="s">
        <v>41</v>
      </c>
      <c r="AD25" s="27" t="s">
        <v>41</v>
      </c>
      <c r="AE25" s="27" t="s">
        <v>41</v>
      </c>
      <c r="AF25" s="27" t="s">
        <v>41</v>
      </c>
      <c r="AG25" s="27" t="s">
        <v>41</v>
      </c>
      <c r="AH25" s="27" t="s">
        <v>41</v>
      </c>
      <c r="AI25" s="27" t="s">
        <v>41</v>
      </c>
      <c r="AJ25" s="27" t="s">
        <v>41</v>
      </c>
      <c r="AK25" s="27" t="s">
        <v>41</v>
      </c>
      <c r="AL25" s="27" t="s">
        <v>41</v>
      </c>
      <c r="AM25" s="27" t="s">
        <v>41</v>
      </c>
      <c r="AN25" s="27" t="s">
        <v>41</v>
      </c>
      <c r="AO25" s="27" t="s">
        <v>41</v>
      </c>
      <c r="AP25" s="27" t="s">
        <v>41</v>
      </c>
      <c r="AQ25" s="27" t="s">
        <v>41</v>
      </c>
      <c r="AR25" s="28" t="s">
        <v>41</v>
      </c>
      <c r="AS25" s="27" t="s">
        <v>5</v>
      </c>
      <c r="AT25" s="27">
        <v>5</v>
      </c>
      <c r="AU25" s="82">
        <v>0.68</v>
      </c>
      <c r="AV25" s="86" t="s">
        <v>41</v>
      </c>
      <c r="AW25" s="28">
        <v>0</v>
      </c>
      <c r="AX25" s="29">
        <f>AVERAGE(O25:Q25)+0.25*MAX(0,(COUNT(U25,W25,Y25,AA25,AC25,AE25,AG25,AI25,AK25,AM25,AO25,AQ25)-3))+IF(AU25&gt;0.55,0.25,0)+IF(MAX(U25,W25,Y25,AA25,AC25,AE25,AG25,AI25,AK25,AM25,AO25,AQ25)&gt;5,0.25,0)</f>
        <v>5.833333333333333</v>
      </c>
      <c r="AY25" s="30" t="str">
        <f>IF(AX25&gt;9,"SuperStar",IF(AX25&gt;8,"Star",IF(AX25&gt;6.5,"GoodReg",IF(AX25&gt;5,"Reg",IF(AX25&gt;4,"Bench","Minors")))))</f>
        <v>Reg</v>
      </c>
      <c r="AZ25" s="30">
        <f>AVERAGE(R25:T25)+0.25*MAX(0,(COUNT(V25,X25,Z25,AB25,AD25,AF25,AH25,AJ25,AL25,AN25,AP25,AR25)-3))+IF(AU25&gt;0.55,0.25,0)+IF(MAX(V25,X25,Z25,AB25,AD25,AF25,AH25,AJ25,AL25,AN25,AP25,AR25)&gt;5,0.25,0)</f>
        <v>5.833333333333333</v>
      </c>
      <c r="BA25" s="30" t="str">
        <f>IF(AZ25&gt;9,"SuperStar",IF(AZ25&gt;8,"Star",IF(AZ25&gt;6.5,"GoodReg",IF(AZ25&gt;5,"Reg",IF(AZ25&gt;4,"Bench","Minors")))))</f>
        <v>Reg</v>
      </c>
      <c r="BB25" s="30">
        <f>MIN(AX25+(MAX(0,25-S25))^1.5,AZ25)</f>
        <v>5.833333333333333</v>
      </c>
      <c r="BC25" s="30" t="str">
        <f>IF(BB25&gt;9,"SuperStar",IF(BB25&gt;8,"Star",IF(BB25&gt;6.5,"GoodReg",IF(BB25&gt;5,"Reg",IF(BB25&gt;4,"Bench","Minors")))))</f>
        <v>Reg</v>
      </c>
      <c r="BD25" s="108">
        <f>COUNT(U25:AR25)/2</f>
        <v>3</v>
      </c>
      <c r="BE25" s="109">
        <f>COUNTIF(U25:AR25,"&gt;5")/2</f>
        <v>2</v>
      </c>
      <c r="BF25" s="27" t="str">
        <f>IF(AW25=1,"Yes","")</f>
        <v/>
      </c>
      <c r="BG25" s="27" t="str">
        <f>IF(A25="ML","There",IF(AVERAGE($R25:$T25)&gt;=6,"Likely",IF(AVERAGE($R25:$T25)&gt;=4,"Possible","Unlikely")))</f>
        <v>Possible</v>
      </c>
      <c r="BH25" t="str">
        <f>IF(AVERAGE(O25:Q25)&gt;=5.5,"ML",IF(AVERAGE(O25:Q25)&gt;=4.5,"AAA",IF(AVERAGE(O25:Q25)&gt;=4,"AA",IF(AVERAGE(O25:Q25)&gt;=3.5,"A","SS-A"))))</f>
        <v>AAA</v>
      </c>
      <c r="BI25">
        <f>SUM(O25:Q25)</f>
        <v>16</v>
      </c>
      <c r="BJ25">
        <f>SUM(R25:T25)</f>
        <v>16</v>
      </c>
      <c r="BK25">
        <f>O25-R25</f>
        <v>0</v>
      </c>
      <c r="BL25">
        <f>P25-S25</f>
        <v>0</v>
      </c>
      <c r="BM25">
        <f>Q25-T25</f>
        <v>0</v>
      </c>
      <c r="BN25">
        <f>SUM(BK25:BM25)</f>
        <v>0</v>
      </c>
    </row>
    <row r="26" spans="1:66">
      <c r="A26" s="96" t="s">
        <v>213</v>
      </c>
      <c r="B26" t="s">
        <v>111</v>
      </c>
      <c r="C26" t="str">
        <f>IF(OR(OR(M26="Very High",M26="High"),AND(OR(M26="Very High",M26="High",M26="Normal"),OR(N26="Very High",N26="High"))),"K","T")</f>
        <v>T</v>
      </c>
      <c r="D26" s="27" t="s">
        <v>111</v>
      </c>
      <c r="E26" s="27" t="s">
        <v>452</v>
      </c>
      <c r="F26" s="27" t="s">
        <v>384</v>
      </c>
      <c r="G26" s="27" t="s">
        <v>213</v>
      </c>
      <c r="H26" s="27">
        <v>23</v>
      </c>
      <c r="I26" s="27" t="s">
        <v>106</v>
      </c>
      <c r="J26" s="28" t="s">
        <v>106</v>
      </c>
      <c r="K26" s="27" t="s">
        <v>47</v>
      </c>
      <c r="L26" s="27" t="s">
        <v>42</v>
      </c>
      <c r="M26" s="27" t="s">
        <v>231</v>
      </c>
      <c r="N26" s="28" t="s">
        <v>230</v>
      </c>
      <c r="O26" s="27">
        <v>7</v>
      </c>
      <c r="P26" s="27">
        <v>5</v>
      </c>
      <c r="Q26" s="28">
        <v>3</v>
      </c>
      <c r="R26" s="27">
        <v>7</v>
      </c>
      <c r="S26" s="27">
        <v>5</v>
      </c>
      <c r="T26" s="28">
        <v>5</v>
      </c>
      <c r="U26" s="27">
        <v>7</v>
      </c>
      <c r="V26" s="27">
        <v>7</v>
      </c>
      <c r="W26" s="27">
        <v>9</v>
      </c>
      <c r="X26" s="27">
        <v>9</v>
      </c>
      <c r="Y26" s="27" t="s">
        <v>41</v>
      </c>
      <c r="Z26" s="27" t="s">
        <v>41</v>
      </c>
      <c r="AA26" s="27">
        <v>8</v>
      </c>
      <c r="AB26" s="27">
        <v>8</v>
      </c>
      <c r="AC26" s="27" t="s">
        <v>41</v>
      </c>
      <c r="AD26" s="27" t="s">
        <v>41</v>
      </c>
      <c r="AE26" s="27" t="s">
        <v>41</v>
      </c>
      <c r="AF26" s="27" t="s">
        <v>41</v>
      </c>
      <c r="AG26" s="27" t="s">
        <v>41</v>
      </c>
      <c r="AH26" s="27" t="s">
        <v>41</v>
      </c>
      <c r="AI26" s="27" t="s">
        <v>41</v>
      </c>
      <c r="AJ26" s="27" t="s">
        <v>41</v>
      </c>
      <c r="AK26" s="27" t="s">
        <v>41</v>
      </c>
      <c r="AL26" s="27" t="s">
        <v>41</v>
      </c>
      <c r="AM26" s="27" t="s">
        <v>41</v>
      </c>
      <c r="AN26" s="27" t="s">
        <v>41</v>
      </c>
      <c r="AO26" s="27" t="s">
        <v>41</v>
      </c>
      <c r="AP26" s="27" t="s">
        <v>41</v>
      </c>
      <c r="AQ26" s="27" t="s">
        <v>41</v>
      </c>
      <c r="AR26" s="28" t="s">
        <v>41</v>
      </c>
      <c r="AS26" s="27" t="s">
        <v>3</v>
      </c>
      <c r="AT26" s="27">
        <v>10</v>
      </c>
      <c r="AU26" s="82">
        <v>0.42</v>
      </c>
      <c r="AV26" s="86">
        <v>490000</v>
      </c>
      <c r="AW26" s="28" t="s">
        <v>45</v>
      </c>
      <c r="AX26" s="29">
        <f>AVERAGE(O26:Q26)+0.25*MAX(0,(COUNT(U26,W26,Y26,AA26,AC26,AE26,AG26,AI26,AK26,AM26,AO26,AQ26)-3))+IF(AU26&gt;0.55,0.25,0)+IF(MAX(U26,W26,Y26,AA26,AC26,AE26,AG26,AI26,AK26,AM26,AO26,AQ26)&gt;5,0.25,0)</f>
        <v>5.25</v>
      </c>
      <c r="AY26" s="30" t="str">
        <f>IF(AX26&gt;9,"SuperStar",IF(AX26&gt;8,"Star",IF(AX26&gt;6.5,"GoodReg",IF(AX26&gt;5,"Reg",IF(AX26&gt;4,"Bench","Minors")))))</f>
        <v>Reg</v>
      </c>
      <c r="AZ26" s="30">
        <f>AVERAGE(R26:T26)+0.25*MAX(0,(COUNT(V26,X26,Z26,AB26,AD26,AF26,AH26,AJ26,AL26,AN26,AP26,AR26)-3))+IF(AU26&gt;0.55,0.25,0)+IF(MAX(V26,X26,Z26,AB26,AD26,AF26,AH26,AJ26,AL26,AN26,AP26,AR26)&gt;5,0.25,0)</f>
        <v>5.916666666666667</v>
      </c>
      <c r="BA26" s="30" t="str">
        <f>IF(AZ26&gt;9,"SuperStar",IF(AZ26&gt;8,"Star",IF(AZ26&gt;6.5,"GoodReg",IF(AZ26&gt;5,"Reg",IF(AZ26&gt;4,"Bench","Minors")))))</f>
        <v>Reg</v>
      </c>
      <c r="BB26" s="30">
        <f>MIN(AX26+(MAX(0,25-S26))^1.5,AZ26)</f>
        <v>5.916666666666667</v>
      </c>
      <c r="BC26" s="30" t="str">
        <f>IF(BB26&gt;9,"SuperStar",IF(BB26&gt;8,"Star",IF(BB26&gt;6.5,"GoodReg",IF(BB26&gt;5,"Reg",IF(BB26&gt;4,"Bench","Minors")))))</f>
        <v>Reg</v>
      </c>
      <c r="BD26" s="108">
        <f>COUNT(U26:AR26)/2</f>
        <v>3</v>
      </c>
      <c r="BE26" s="109">
        <f>COUNTIF(U26:AR26,"&gt;5")/2</f>
        <v>3</v>
      </c>
      <c r="BF26" s="27" t="str">
        <f>IF(AW26=1,"Yes","")</f>
        <v/>
      </c>
      <c r="BG26" s="27" t="str">
        <f>IF(A26="ML","There",IF(AVERAGE($R26:$T26)&gt;=6,"Likely",IF(AVERAGE($R26:$T26)&gt;=4,"Possible","Unlikely")))</f>
        <v>Possible</v>
      </c>
      <c r="BH26" t="str">
        <f>IF(AVERAGE(O26:Q26)&gt;=5.5,"ML",IF(AVERAGE(O26:Q26)&gt;=4.5,"AAA",IF(AVERAGE(O26:Q26)&gt;=4,"AA",IF(AVERAGE(O26:Q26)&gt;=3.5,"A","SS-A"))))</f>
        <v>AAA</v>
      </c>
      <c r="BI26">
        <f>SUM(O26:Q26)</f>
        <v>15</v>
      </c>
      <c r="BJ26">
        <f>SUM(R26:T26)</f>
        <v>17</v>
      </c>
      <c r="BK26">
        <f>O26-R26</f>
        <v>0</v>
      </c>
      <c r="BL26">
        <f>P26-S26</f>
        <v>0</v>
      </c>
      <c r="BM26">
        <f>Q26-T26</f>
        <v>-2</v>
      </c>
      <c r="BN26">
        <f>SUM(BK26:BM26)</f>
        <v>-2</v>
      </c>
    </row>
    <row r="27" spans="1:66">
      <c r="A27" s="96" t="s">
        <v>213</v>
      </c>
      <c r="B27" t="s">
        <v>110</v>
      </c>
      <c r="C27" t="str">
        <f>IF(OR(OR(M27="Very High",M27="High"),AND(OR(M27="Very High",M27="High",M27="Normal"),OR(N27="Very High",N27="High"))),"K","T")</f>
        <v>K</v>
      </c>
      <c r="D27" s="27" t="s">
        <v>110</v>
      </c>
      <c r="E27" s="27" t="s">
        <v>9</v>
      </c>
      <c r="F27" s="27" t="s">
        <v>384</v>
      </c>
      <c r="G27" s="27" t="s">
        <v>213</v>
      </c>
      <c r="H27" s="27">
        <v>24</v>
      </c>
      <c r="I27" s="27" t="s">
        <v>107</v>
      </c>
      <c r="J27" s="28" t="s">
        <v>107</v>
      </c>
      <c r="K27" s="27" t="s">
        <v>42</v>
      </c>
      <c r="L27" s="27" t="s">
        <v>40</v>
      </c>
      <c r="M27" s="27" t="s">
        <v>229</v>
      </c>
      <c r="N27" s="28" t="s">
        <v>232</v>
      </c>
      <c r="O27" s="27">
        <v>7</v>
      </c>
      <c r="P27" s="27">
        <v>7</v>
      </c>
      <c r="Q27" s="28">
        <v>4</v>
      </c>
      <c r="R27" s="27">
        <v>7</v>
      </c>
      <c r="S27" s="27">
        <v>7</v>
      </c>
      <c r="T27" s="28">
        <v>4</v>
      </c>
      <c r="U27" s="27">
        <v>8</v>
      </c>
      <c r="V27" s="27">
        <v>8</v>
      </c>
      <c r="W27" s="27" t="s">
        <v>41</v>
      </c>
      <c r="X27" s="27" t="s">
        <v>41</v>
      </c>
      <c r="Y27" s="27" t="s">
        <v>41</v>
      </c>
      <c r="Z27" s="27" t="s">
        <v>41</v>
      </c>
      <c r="AA27" s="27">
        <v>7</v>
      </c>
      <c r="AB27" s="27">
        <v>7</v>
      </c>
      <c r="AC27" s="27" t="s">
        <v>41</v>
      </c>
      <c r="AD27" s="27" t="s">
        <v>41</v>
      </c>
      <c r="AE27" s="27" t="s">
        <v>41</v>
      </c>
      <c r="AF27" s="27" t="s">
        <v>41</v>
      </c>
      <c r="AG27" s="27" t="s">
        <v>41</v>
      </c>
      <c r="AH27" s="27" t="s">
        <v>41</v>
      </c>
      <c r="AI27" s="27" t="s">
        <v>41</v>
      </c>
      <c r="AJ27" s="27" t="s">
        <v>41</v>
      </c>
      <c r="AK27" s="27" t="s">
        <v>41</v>
      </c>
      <c r="AL27" s="27" t="s">
        <v>41</v>
      </c>
      <c r="AM27" s="27" t="s">
        <v>41</v>
      </c>
      <c r="AN27" s="27" t="s">
        <v>41</v>
      </c>
      <c r="AO27" s="27" t="s">
        <v>41</v>
      </c>
      <c r="AP27" s="27" t="s">
        <v>41</v>
      </c>
      <c r="AQ27" s="27" t="s">
        <v>41</v>
      </c>
      <c r="AR27" s="28" t="s">
        <v>41</v>
      </c>
      <c r="AS27" s="27" t="s">
        <v>252</v>
      </c>
      <c r="AT27" s="27">
        <v>1</v>
      </c>
      <c r="AU27" s="82">
        <v>0.66</v>
      </c>
      <c r="AV27" s="86">
        <v>490000</v>
      </c>
      <c r="AW27" s="28" t="s">
        <v>45</v>
      </c>
      <c r="AX27" s="29">
        <f>AVERAGE(O27:Q27)+0.25*MAX(0,(COUNT(U27,W27,Y27,AA27,AC27,AE27,AG27,AI27,AK27,AM27,AO27,AQ27)-3))+IF(AU27&gt;0.55,0.25,0)+IF(MAX(U27,W27,Y27,AA27,AC27,AE27,AG27,AI27,AK27,AM27,AO27,AQ27)&gt;5,0.25,0)</f>
        <v>6.5</v>
      </c>
      <c r="AY27" s="30" t="str">
        <f>IF(AX27&gt;9,"SuperStar",IF(AX27&gt;8,"Star",IF(AX27&gt;6.5,"GoodReg",IF(AX27&gt;5,"Reg",IF(AX27&gt;4,"Bench","Minors")))))</f>
        <v>Reg</v>
      </c>
      <c r="AZ27" s="30">
        <f>AVERAGE(R27:T27)+0.25*MAX(0,(COUNT(V27,X27,Z27,AB27,AD27,AF27,AH27,AJ27,AL27,AN27,AP27,AR27)-3))+IF(AU27&gt;0.55,0.25,0)+IF(MAX(V27,X27,Z27,AB27,AD27,AF27,AH27,AJ27,AL27,AN27,AP27,AR27)&gt;5,0.25,0)</f>
        <v>6.5</v>
      </c>
      <c r="BA27" s="30" t="str">
        <f>IF(AZ27&gt;9,"SuperStar",IF(AZ27&gt;8,"Star",IF(AZ27&gt;6.5,"GoodReg",IF(AZ27&gt;5,"Reg",IF(AZ27&gt;4,"Bench","Minors")))))</f>
        <v>Reg</v>
      </c>
      <c r="BB27" s="30">
        <f>MIN(AX27+(MAX(0,25-S27))^1.5,AZ27)</f>
        <v>6.5</v>
      </c>
      <c r="BC27" s="30" t="str">
        <f>IF(BB27&gt;9,"SuperStar",IF(BB27&gt;8,"Star",IF(BB27&gt;6.5,"GoodReg",IF(BB27&gt;5,"Reg",IF(BB27&gt;4,"Bench","Minors")))))</f>
        <v>Reg</v>
      </c>
      <c r="BD27" s="108">
        <f>COUNT(U27:AR27)/2</f>
        <v>2</v>
      </c>
      <c r="BE27" s="109">
        <f>COUNTIF(U27:AR27,"&gt;5")/2</f>
        <v>2</v>
      </c>
      <c r="BF27" s="27" t="str">
        <f>IF(AW27=1,"Yes","")</f>
        <v/>
      </c>
      <c r="BG27" s="27" t="str">
        <f>IF(A27="ML","There",IF(AVERAGE($R27:$T27)&gt;=6,"Likely",IF(AVERAGE($R27:$T27)&gt;=4,"Possible","Unlikely")))</f>
        <v>Likely</v>
      </c>
      <c r="BH27" t="str">
        <f>IF(AVERAGE(O27:Q27)&gt;=5.5,"ML",IF(AVERAGE(O27:Q27)&gt;=4.5,"AAA",IF(AVERAGE(O27:Q27)&gt;=4,"AA",IF(AVERAGE(O27:Q27)&gt;=3.5,"A","SS-A"))))</f>
        <v>ML</v>
      </c>
      <c r="BI27">
        <f>SUM(O27:Q27)</f>
        <v>18</v>
      </c>
      <c r="BJ27">
        <f>SUM(R27:T27)</f>
        <v>18</v>
      </c>
      <c r="BK27">
        <f>O27-R27</f>
        <v>0</v>
      </c>
      <c r="BL27">
        <f>P27-S27</f>
        <v>0</v>
      </c>
      <c r="BM27">
        <f>Q27-T27</f>
        <v>0</v>
      </c>
      <c r="BN27">
        <f>SUM(BK27:BM27)</f>
        <v>0</v>
      </c>
    </row>
    <row r="28" spans="1:66">
      <c r="A28" s="96" t="s">
        <v>213</v>
      </c>
      <c r="B28" t="s">
        <v>110</v>
      </c>
      <c r="C28" t="str">
        <f>IF(OR(OR(M28="Very High",M28="High"),AND(OR(M28="Very High",M28="High",M28="Normal"),OR(N28="Very High",N28="High"))),"K","T")</f>
        <v>T</v>
      </c>
      <c r="D28" s="27" t="s">
        <v>110</v>
      </c>
      <c r="E28" s="27" t="s">
        <v>553</v>
      </c>
      <c r="F28" s="27" t="s">
        <v>384</v>
      </c>
      <c r="G28" s="27" t="s">
        <v>213</v>
      </c>
      <c r="H28" s="27">
        <v>32</v>
      </c>
      <c r="I28" s="27" t="s">
        <v>107</v>
      </c>
      <c r="J28" s="28" t="s">
        <v>107</v>
      </c>
      <c r="K28" s="27" t="s">
        <v>42</v>
      </c>
      <c r="L28" s="27" t="s">
        <v>42</v>
      </c>
      <c r="M28" s="27" t="s">
        <v>231</v>
      </c>
      <c r="N28" s="28" t="s">
        <v>231</v>
      </c>
      <c r="O28" s="27">
        <v>8</v>
      </c>
      <c r="P28" s="27">
        <v>5</v>
      </c>
      <c r="Q28" s="28">
        <v>3</v>
      </c>
      <c r="R28" s="27">
        <v>8</v>
      </c>
      <c r="S28" s="27">
        <v>5</v>
      </c>
      <c r="T28" s="28">
        <v>3</v>
      </c>
      <c r="U28" s="27">
        <v>7</v>
      </c>
      <c r="V28" s="27">
        <v>7</v>
      </c>
      <c r="W28" s="27">
        <v>9</v>
      </c>
      <c r="X28" s="27">
        <v>9</v>
      </c>
      <c r="Y28" s="27" t="s">
        <v>41</v>
      </c>
      <c r="Z28" s="27" t="s">
        <v>41</v>
      </c>
      <c r="AA28" s="27">
        <v>3</v>
      </c>
      <c r="AB28" s="27">
        <v>3</v>
      </c>
      <c r="AC28" s="27" t="s">
        <v>41</v>
      </c>
      <c r="AD28" s="27" t="s">
        <v>41</v>
      </c>
      <c r="AE28" s="27" t="s">
        <v>41</v>
      </c>
      <c r="AF28" s="27" t="s">
        <v>41</v>
      </c>
      <c r="AG28" s="27" t="s">
        <v>41</v>
      </c>
      <c r="AH28" s="27" t="s">
        <v>41</v>
      </c>
      <c r="AI28" s="27" t="s">
        <v>41</v>
      </c>
      <c r="AJ28" s="27" t="s">
        <v>41</v>
      </c>
      <c r="AK28" s="27" t="s">
        <v>41</v>
      </c>
      <c r="AL28" s="27" t="s">
        <v>41</v>
      </c>
      <c r="AM28" s="27" t="s">
        <v>41</v>
      </c>
      <c r="AN28" s="27" t="s">
        <v>41</v>
      </c>
      <c r="AO28" s="27" t="s">
        <v>41</v>
      </c>
      <c r="AP28" s="27" t="s">
        <v>41</v>
      </c>
      <c r="AQ28" s="27" t="s">
        <v>41</v>
      </c>
      <c r="AR28" s="28" t="s">
        <v>41</v>
      </c>
      <c r="AS28" s="27" t="s">
        <v>5</v>
      </c>
      <c r="AT28" s="27">
        <v>2</v>
      </c>
      <c r="AU28" s="82">
        <v>0.56000000000000005</v>
      </c>
      <c r="AV28" s="86" t="s">
        <v>41</v>
      </c>
      <c r="AW28" s="28" t="s">
        <v>45</v>
      </c>
      <c r="AX28" s="29">
        <f>AVERAGE(O28:Q28)+0.25*MAX(0,(COUNT(U28,W28,Y28,AA28,AC28,AE28,AG28,AI28,AK28,AM28,AO28,AQ28)-3))+IF(AU28&gt;0.55,0.25,0)+IF(MAX(U28,W28,Y28,AA28,AC28,AE28,AG28,AI28,AK28,AM28,AO28,AQ28)&gt;5,0.25,0)</f>
        <v>5.833333333333333</v>
      </c>
      <c r="AY28" s="30" t="str">
        <f>IF(AX28&gt;9,"SuperStar",IF(AX28&gt;8,"Star",IF(AX28&gt;6.5,"GoodReg",IF(AX28&gt;5,"Reg",IF(AX28&gt;4,"Bench","Minors")))))</f>
        <v>Reg</v>
      </c>
      <c r="AZ28" s="30">
        <f>AVERAGE(R28:T28)+0.25*MAX(0,(COUNT(V28,X28,Z28,AB28,AD28,AF28,AH28,AJ28,AL28,AN28,AP28,AR28)-3))+IF(AU28&gt;0.55,0.25,0)+IF(MAX(V28,X28,Z28,AB28,AD28,AF28,AH28,AJ28,AL28,AN28,AP28,AR28)&gt;5,0.25,0)</f>
        <v>5.833333333333333</v>
      </c>
      <c r="BA28" s="30" t="str">
        <f>IF(AZ28&gt;9,"SuperStar",IF(AZ28&gt;8,"Star",IF(AZ28&gt;6.5,"GoodReg",IF(AZ28&gt;5,"Reg",IF(AZ28&gt;4,"Bench","Minors")))))</f>
        <v>Reg</v>
      </c>
      <c r="BB28" s="30">
        <f>MIN(AX28+(MAX(0,25-S28))^1.5,AZ28)</f>
        <v>5.833333333333333</v>
      </c>
      <c r="BC28" s="30" t="str">
        <f>IF(BB28&gt;9,"SuperStar",IF(BB28&gt;8,"Star",IF(BB28&gt;6.5,"GoodReg",IF(BB28&gt;5,"Reg",IF(BB28&gt;4,"Bench","Minors")))))</f>
        <v>Reg</v>
      </c>
      <c r="BD28" s="108">
        <f>COUNT(U28:AR28)/2</f>
        <v>3</v>
      </c>
      <c r="BE28" s="109">
        <f>COUNTIF(U28:AR28,"&gt;5")/2</f>
        <v>2</v>
      </c>
      <c r="BF28" s="27" t="str">
        <f>IF(AW28=1,"Yes","")</f>
        <v/>
      </c>
      <c r="BG28" s="27" t="str">
        <f>IF(A28="ML","There",IF(AVERAGE($R28:$T28)&gt;=6,"Likely",IF(AVERAGE($R28:$T28)&gt;=4,"Possible","Unlikely")))</f>
        <v>Possible</v>
      </c>
      <c r="BH28" t="str">
        <f>IF(AVERAGE(O28:Q28)&gt;=5.5,"ML",IF(AVERAGE(O28:Q28)&gt;=4.5,"AAA",IF(AVERAGE(O28:Q28)&gt;=4,"AA",IF(AVERAGE(O28:Q28)&gt;=3.5,"A","SS-A"))))</f>
        <v>AAA</v>
      </c>
      <c r="BI28">
        <f>SUM(O28:Q28)</f>
        <v>16</v>
      </c>
      <c r="BJ28">
        <f>SUM(R28:T28)</f>
        <v>16</v>
      </c>
      <c r="BK28">
        <f>O28-R28</f>
        <v>0</v>
      </c>
      <c r="BL28">
        <f>P28-S28</f>
        <v>0</v>
      </c>
      <c r="BM28">
        <f>Q28-T28</f>
        <v>0</v>
      </c>
      <c r="BN28">
        <f>SUM(BK28:BM28)</f>
        <v>0</v>
      </c>
    </row>
    <row r="29" spans="1:66">
      <c r="A29" s="96" t="s">
        <v>213</v>
      </c>
      <c r="B29" t="s">
        <v>110</v>
      </c>
      <c r="C29" t="str">
        <f>IF(OR(OR(M29="Very High",M29="High"),AND(OR(M29="Very High",M29="High",M29="Normal"),OR(N29="Very High",N29="High"))),"K","T")</f>
        <v>K</v>
      </c>
      <c r="D29" s="27" t="s">
        <v>111</v>
      </c>
      <c r="E29" s="27" t="s">
        <v>13</v>
      </c>
      <c r="F29" s="27" t="s">
        <v>384</v>
      </c>
      <c r="G29" s="27" t="s">
        <v>213</v>
      </c>
      <c r="H29" s="27">
        <v>25</v>
      </c>
      <c r="I29" s="27" t="s">
        <v>107</v>
      </c>
      <c r="J29" s="28" t="s">
        <v>107</v>
      </c>
      <c r="K29" s="27" t="s">
        <v>42</v>
      </c>
      <c r="L29" s="27" t="s">
        <v>42</v>
      </c>
      <c r="M29" s="27" t="s">
        <v>229</v>
      </c>
      <c r="N29" s="28" t="s">
        <v>229</v>
      </c>
      <c r="O29" s="27">
        <v>4</v>
      </c>
      <c r="P29" s="27">
        <v>7</v>
      </c>
      <c r="Q29" s="28">
        <v>5</v>
      </c>
      <c r="R29" s="27">
        <v>4</v>
      </c>
      <c r="S29" s="27">
        <v>7</v>
      </c>
      <c r="T29" s="28">
        <v>5</v>
      </c>
      <c r="U29" s="27">
        <v>6</v>
      </c>
      <c r="V29" s="27">
        <v>6</v>
      </c>
      <c r="W29" s="27">
        <v>4</v>
      </c>
      <c r="X29" s="27">
        <v>4</v>
      </c>
      <c r="Y29" s="27">
        <v>4</v>
      </c>
      <c r="Z29" s="27">
        <v>4</v>
      </c>
      <c r="AA29" s="27" t="s">
        <v>41</v>
      </c>
      <c r="AB29" s="27" t="s">
        <v>41</v>
      </c>
      <c r="AC29" s="27" t="s">
        <v>41</v>
      </c>
      <c r="AD29" s="27" t="s">
        <v>41</v>
      </c>
      <c r="AE29" s="27" t="s">
        <v>41</v>
      </c>
      <c r="AF29" s="27" t="s">
        <v>41</v>
      </c>
      <c r="AG29" s="27" t="s">
        <v>41</v>
      </c>
      <c r="AH29" s="27" t="s">
        <v>41</v>
      </c>
      <c r="AI29" s="27" t="s">
        <v>41</v>
      </c>
      <c r="AJ29" s="27" t="s">
        <v>41</v>
      </c>
      <c r="AK29" s="27" t="s">
        <v>41</v>
      </c>
      <c r="AL29" s="27" t="s">
        <v>41</v>
      </c>
      <c r="AM29" s="27" t="s">
        <v>41</v>
      </c>
      <c r="AN29" s="27" t="s">
        <v>41</v>
      </c>
      <c r="AO29" s="27" t="s">
        <v>41</v>
      </c>
      <c r="AP29" s="27" t="s">
        <v>41</v>
      </c>
      <c r="AQ29" s="27" t="s">
        <v>41</v>
      </c>
      <c r="AR29" s="28" t="s">
        <v>41</v>
      </c>
      <c r="AS29" s="27" t="s">
        <v>5</v>
      </c>
      <c r="AT29" s="27">
        <v>4</v>
      </c>
      <c r="AU29" s="82">
        <v>0.63</v>
      </c>
      <c r="AV29" s="86" t="s">
        <v>41</v>
      </c>
      <c r="AW29" s="28">
        <v>0</v>
      </c>
      <c r="AX29" s="29">
        <f>AVERAGE(O29:Q29)+0.25*MAX(0,(COUNT(U29,W29,Y29,AA29,AC29,AE29,AG29,AI29,AK29,AM29,AO29,AQ29)-3))+IF(AU29&gt;0.55,0.25,0)+IF(MAX(U29,W29,Y29,AA29,AC29,AE29,AG29,AI29,AK29,AM29,AO29,AQ29)&gt;5,0.25,0)</f>
        <v>5.833333333333333</v>
      </c>
      <c r="AY29" s="30" t="str">
        <f>IF(AX29&gt;9,"SuperStar",IF(AX29&gt;8,"Star",IF(AX29&gt;6.5,"GoodReg",IF(AX29&gt;5,"Reg",IF(AX29&gt;4,"Bench","Minors")))))</f>
        <v>Reg</v>
      </c>
      <c r="AZ29" s="30">
        <f>AVERAGE(R29:T29)+0.25*MAX(0,(COUNT(V29,X29,Z29,AB29,AD29,AF29,AH29,AJ29,AL29,AN29,AP29,AR29)-3))+IF(AU29&gt;0.55,0.25,0)+IF(MAX(V29,X29,Z29,AB29,AD29,AF29,AH29,AJ29,AL29,AN29,AP29,AR29)&gt;5,0.25,0)</f>
        <v>5.833333333333333</v>
      </c>
      <c r="BA29" s="30" t="str">
        <f>IF(AZ29&gt;9,"SuperStar",IF(AZ29&gt;8,"Star",IF(AZ29&gt;6.5,"GoodReg",IF(AZ29&gt;5,"Reg",IF(AZ29&gt;4,"Bench","Minors")))))</f>
        <v>Reg</v>
      </c>
      <c r="BB29" s="30">
        <f>MIN(AX29+(MAX(0,25-S29))^1.5,AZ29)</f>
        <v>5.833333333333333</v>
      </c>
      <c r="BC29" s="30" t="str">
        <f>IF(BB29&gt;9,"SuperStar",IF(BB29&gt;8,"Star",IF(BB29&gt;6.5,"GoodReg",IF(BB29&gt;5,"Reg",IF(BB29&gt;4,"Bench","Minors")))))</f>
        <v>Reg</v>
      </c>
      <c r="BD29" s="108">
        <f>COUNT(U29:AR29)/2</f>
        <v>3</v>
      </c>
      <c r="BE29" s="109">
        <f>COUNTIF(U29:AR29,"&gt;5")/2</f>
        <v>1</v>
      </c>
      <c r="BF29" s="27" t="str">
        <f>IF(AW29=1,"Yes","")</f>
        <v/>
      </c>
      <c r="BG29" s="27" t="str">
        <f>IF(A29="ML","There",IF(AVERAGE($R29:$T29)&gt;=6,"Likely",IF(AVERAGE($R29:$T29)&gt;=4,"Possible","Unlikely")))</f>
        <v>Possible</v>
      </c>
      <c r="BH29" t="str">
        <f>IF(AVERAGE(O29:Q29)&gt;=5.5,"ML",IF(AVERAGE(O29:Q29)&gt;=4.5,"AAA",IF(AVERAGE(O29:Q29)&gt;=4,"AA",IF(AVERAGE(O29:Q29)&gt;=3.5,"A","SS-A"))))</f>
        <v>AAA</v>
      </c>
      <c r="BI29">
        <f>SUM(O29:Q29)</f>
        <v>16</v>
      </c>
      <c r="BJ29">
        <f>SUM(R29:T29)</f>
        <v>16</v>
      </c>
      <c r="BK29">
        <f>O29-R29</f>
        <v>0</v>
      </c>
      <c r="BL29">
        <f>P29-S29</f>
        <v>0</v>
      </c>
      <c r="BM29">
        <f>Q29-T29</f>
        <v>0</v>
      </c>
      <c r="BN29">
        <f>SUM(BK29:BM29)</f>
        <v>0</v>
      </c>
    </row>
    <row r="30" spans="1:66">
      <c r="A30" s="96" t="s">
        <v>213</v>
      </c>
      <c r="B30" t="s">
        <v>110</v>
      </c>
      <c r="C30" t="str">
        <f>IF(OR(OR(M30="Very High",M30="High"),AND(OR(M30="Very High",M30="High",M30="Normal"),OR(N30="Very High",N30="High"))),"K","T")</f>
        <v>T</v>
      </c>
      <c r="D30" s="27" t="s">
        <v>110</v>
      </c>
      <c r="E30" s="27" t="s">
        <v>509</v>
      </c>
      <c r="F30" s="27" t="s">
        <v>384</v>
      </c>
      <c r="G30" s="27" t="s">
        <v>213</v>
      </c>
      <c r="H30" s="27">
        <v>32</v>
      </c>
      <c r="I30" s="27" t="s">
        <v>106</v>
      </c>
      <c r="J30" s="28" t="s">
        <v>106</v>
      </c>
      <c r="K30" s="27" t="s">
        <v>42</v>
      </c>
      <c r="L30" s="27" t="s">
        <v>42</v>
      </c>
      <c r="M30" s="27" t="s">
        <v>231</v>
      </c>
      <c r="N30" s="28" t="s">
        <v>230</v>
      </c>
      <c r="O30" s="27">
        <v>4</v>
      </c>
      <c r="P30" s="27">
        <v>6</v>
      </c>
      <c r="Q30" s="28">
        <v>7</v>
      </c>
      <c r="R30" s="27">
        <v>4</v>
      </c>
      <c r="S30" s="27">
        <v>6</v>
      </c>
      <c r="T30" s="28">
        <v>7</v>
      </c>
      <c r="U30" s="27">
        <v>4</v>
      </c>
      <c r="V30" s="27">
        <v>4</v>
      </c>
      <c r="W30" s="27" t="s">
        <v>41</v>
      </c>
      <c r="X30" s="27" t="s">
        <v>41</v>
      </c>
      <c r="Y30" s="27" t="s">
        <v>41</v>
      </c>
      <c r="Z30" s="27" t="s">
        <v>41</v>
      </c>
      <c r="AA30" s="27">
        <v>4</v>
      </c>
      <c r="AB30" s="27">
        <v>4</v>
      </c>
      <c r="AC30" s="27" t="s">
        <v>41</v>
      </c>
      <c r="AD30" s="27" t="s">
        <v>41</v>
      </c>
      <c r="AE30" s="27" t="s">
        <v>41</v>
      </c>
      <c r="AF30" s="27" t="s">
        <v>41</v>
      </c>
      <c r="AG30" s="27">
        <v>4</v>
      </c>
      <c r="AH30" s="27">
        <v>4</v>
      </c>
      <c r="AI30" s="27" t="s">
        <v>41</v>
      </c>
      <c r="AJ30" s="27" t="s">
        <v>41</v>
      </c>
      <c r="AK30" s="27" t="s">
        <v>41</v>
      </c>
      <c r="AL30" s="27" t="s">
        <v>41</v>
      </c>
      <c r="AM30" s="27" t="s">
        <v>41</v>
      </c>
      <c r="AN30" s="27" t="s">
        <v>41</v>
      </c>
      <c r="AO30" s="27" t="s">
        <v>41</v>
      </c>
      <c r="AP30" s="27" t="s">
        <v>41</v>
      </c>
      <c r="AQ30" s="27" t="s">
        <v>41</v>
      </c>
      <c r="AR30" s="28" t="s">
        <v>41</v>
      </c>
      <c r="AS30" s="27" t="s">
        <v>0</v>
      </c>
      <c r="AT30" s="27">
        <v>3</v>
      </c>
      <c r="AU30" s="82">
        <v>0.39</v>
      </c>
      <c r="AV30" s="86" t="s">
        <v>41</v>
      </c>
      <c r="AW30" s="28">
        <v>1</v>
      </c>
      <c r="AX30" s="29">
        <f>AVERAGE(O30:Q30)+0.25*MAX(0,(COUNT(U30,W30,Y30,AA30,AC30,AE30,AG30,AI30,AK30,AM30,AO30,AQ30)-3))+IF(AU30&gt;0.55,0.25,0)+IF(MAX(U30,W30,Y30,AA30,AC30,AE30,AG30,AI30,AK30,AM30,AO30,AQ30)&gt;5,0.25,0)</f>
        <v>5.666666666666667</v>
      </c>
      <c r="AY30" s="30" t="str">
        <f>IF(AX30&gt;9,"SuperStar",IF(AX30&gt;8,"Star",IF(AX30&gt;6.5,"GoodReg",IF(AX30&gt;5,"Reg",IF(AX30&gt;4,"Bench","Minors")))))</f>
        <v>Reg</v>
      </c>
      <c r="AZ30" s="30">
        <f>AVERAGE(R30:T30)+0.25*MAX(0,(COUNT(V30,X30,Z30,AB30,AD30,AF30,AH30,AJ30,AL30,AN30,AP30,AR30)-3))+IF(AU30&gt;0.55,0.25,0)+IF(MAX(V30,X30,Z30,AB30,AD30,AF30,AH30,AJ30,AL30,AN30,AP30,AR30)&gt;5,0.25,0)</f>
        <v>5.666666666666667</v>
      </c>
      <c r="BA30" s="30" t="str">
        <f>IF(AZ30&gt;9,"SuperStar",IF(AZ30&gt;8,"Star",IF(AZ30&gt;6.5,"GoodReg",IF(AZ30&gt;5,"Reg",IF(AZ30&gt;4,"Bench","Minors")))))</f>
        <v>Reg</v>
      </c>
      <c r="BB30" s="30">
        <f>MIN(AX30+(MAX(0,25-S30))^1.5,AZ30)</f>
        <v>5.666666666666667</v>
      </c>
      <c r="BC30" s="30" t="str">
        <f>IF(BB30&gt;9,"SuperStar",IF(BB30&gt;8,"Star",IF(BB30&gt;6.5,"GoodReg",IF(BB30&gt;5,"Reg",IF(BB30&gt;4,"Bench","Minors")))))</f>
        <v>Reg</v>
      </c>
      <c r="BD30" s="108">
        <f>COUNT(U30:AR30)/2</f>
        <v>3</v>
      </c>
      <c r="BE30" s="109">
        <f>COUNTIF(U30:AR30,"&gt;5")/2</f>
        <v>0</v>
      </c>
      <c r="BF30" s="27" t="str">
        <f>IF(AW30=1,"Yes","")</f>
        <v>Yes</v>
      </c>
      <c r="BG30" s="27" t="str">
        <f>IF(A30="ML","There",IF(AVERAGE($R30:$T30)&gt;=6,"Likely",IF(AVERAGE($R30:$T30)&gt;=4,"Possible","Unlikely")))</f>
        <v>Possible</v>
      </c>
      <c r="BH30" t="str">
        <f>IF(AVERAGE(O30:Q30)&gt;=5.5,"ML",IF(AVERAGE(O30:Q30)&gt;=4.5,"AAA",IF(AVERAGE(O30:Q30)&gt;=4,"AA",IF(AVERAGE(O30:Q30)&gt;=3.5,"A","SS-A"))))</f>
        <v>ML</v>
      </c>
      <c r="BI30">
        <f>SUM(O30:Q30)</f>
        <v>17</v>
      </c>
      <c r="BJ30">
        <f>SUM(R30:T30)</f>
        <v>17</v>
      </c>
      <c r="BK30">
        <f>O30-R30</f>
        <v>0</v>
      </c>
      <c r="BL30">
        <f>P30-S30</f>
        <v>0</v>
      </c>
      <c r="BM30">
        <f>Q30-T30</f>
        <v>0</v>
      </c>
      <c r="BN30">
        <f>SUM(BK30:BM30)</f>
        <v>0</v>
      </c>
    </row>
    <row r="31" spans="1:66">
      <c r="A31" s="96" t="s">
        <v>213</v>
      </c>
      <c r="B31" t="s">
        <v>110</v>
      </c>
      <c r="C31" t="str">
        <f>IF(OR(OR(M31="Very High",M31="High"),AND(OR(M31="Very High",M31="High",M31="Normal"),OR(N31="Very High",N31="High"))),"K","T")</f>
        <v>K</v>
      </c>
      <c r="D31" s="27" t="s">
        <v>110</v>
      </c>
      <c r="E31" s="27" t="s">
        <v>12</v>
      </c>
      <c r="F31" s="27" t="s">
        <v>25</v>
      </c>
      <c r="G31" s="27" t="s">
        <v>212</v>
      </c>
      <c r="H31" s="27">
        <v>27</v>
      </c>
      <c r="I31" s="27" t="s">
        <v>107</v>
      </c>
      <c r="J31" s="28" t="s">
        <v>107</v>
      </c>
      <c r="K31" s="27" t="s">
        <v>42</v>
      </c>
      <c r="L31" s="27" t="s">
        <v>42</v>
      </c>
      <c r="M31" s="27" t="s">
        <v>230</v>
      </c>
      <c r="N31" s="28" t="s">
        <v>228</v>
      </c>
      <c r="O31" s="27">
        <v>5</v>
      </c>
      <c r="P31" s="27">
        <v>7</v>
      </c>
      <c r="Q31" s="28">
        <v>3</v>
      </c>
      <c r="R31" s="27">
        <v>5</v>
      </c>
      <c r="S31" s="27">
        <v>7</v>
      </c>
      <c r="T31" s="28">
        <v>4</v>
      </c>
      <c r="U31" s="27">
        <v>5</v>
      </c>
      <c r="V31" s="27">
        <v>5</v>
      </c>
      <c r="W31" s="27">
        <v>4</v>
      </c>
      <c r="X31" s="27">
        <v>4</v>
      </c>
      <c r="Y31" s="27" t="s">
        <v>41</v>
      </c>
      <c r="Z31" s="27" t="s">
        <v>41</v>
      </c>
      <c r="AA31" s="27">
        <v>3</v>
      </c>
      <c r="AB31" s="27">
        <v>3</v>
      </c>
      <c r="AC31" s="27">
        <v>5</v>
      </c>
      <c r="AD31" s="27">
        <v>6</v>
      </c>
      <c r="AE31" s="27" t="s">
        <v>41</v>
      </c>
      <c r="AF31" s="27" t="s">
        <v>41</v>
      </c>
      <c r="AG31" s="27" t="s">
        <v>41</v>
      </c>
      <c r="AH31" s="27" t="s">
        <v>41</v>
      </c>
      <c r="AI31" s="27" t="s">
        <v>41</v>
      </c>
      <c r="AJ31" s="27" t="s">
        <v>41</v>
      </c>
      <c r="AK31" s="27" t="s">
        <v>41</v>
      </c>
      <c r="AL31" s="27" t="s">
        <v>41</v>
      </c>
      <c r="AM31" s="27" t="s">
        <v>41</v>
      </c>
      <c r="AN31" s="27" t="s">
        <v>41</v>
      </c>
      <c r="AO31" s="27" t="s">
        <v>41</v>
      </c>
      <c r="AP31" s="27" t="s">
        <v>41</v>
      </c>
      <c r="AQ31" s="27" t="s">
        <v>41</v>
      </c>
      <c r="AR31" s="28" t="s">
        <v>41</v>
      </c>
      <c r="AS31" s="27" t="s">
        <v>2</v>
      </c>
      <c r="AT31" s="27">
        <v>2</v>
      </c>
      <c r="AU31" s="82">
        <v>0.62</v>
      </c>
      <c r="AV31" s="86">
        <v>490000</v>
      </c>
      <c r="AW31" s="28" t="s">
        <v>45</v>
      </c>
      <c r="AX31" s="29">
        <f>AVERAGE(O31:Q31)+0.25*MAX(0,(COUNT(U31,W31,Y31,AA31,AC31,AE31,AG31,AI31,AK31,AM31,AO31,AQ31)-3))+IF(AU31&gt;0.55,0.25,0)+IF(MAX(U31,W31,Y31,AA31,AC31,AE31,AG31,AI31,AK31,AM31,AO31,AQ31)&gt;5,0.25,0)</f>
        <v>5.5</v>
      </c>
      <c r="AY31" s="30" t="str">
        <f>IF(AX31&gt;9,"SuperStar",IF(AX31&gt;8,"Star",IF(AX31&gt;6.5,"GoodReg",IF(AX31&gt;5,"Reg",IF(AX31&gt;4,"Bench","Minors")))))</f>
        <v>Reg</v>
      </c>
      <c r="AZ31" s="30">
        <f>AVERAGE(R31:T31)+0.25*MAX(0,(COUNT(V31,X31,Z31,AB31,AD31,AF31,AH31,AJ31,AL31,AN31,AP31,AR31)-3))+IF(AU31&gt;0.55,0.25,0)+IF(MAX(V31,X31,Z31,AB31,AD31,AF31,AH31,AJ31,AL31,AN31,AP31,AR31)&gt;5,0.25,0)</f>
        <v>6.083333333333333</v>
      </c>
      <c r="BA31" s="30" t="str">
        <f>IF(AZ31&gt;9,"SuperStar",IF(AZ31&gt;8,"Star",IF(AZ31&gt;6.5,"GoodReg",IF(AZ31&gt;5,"Reg",IF(AZ31&gt;4,"Bench","Minors")))))</f>
        <v>Reg</v>
      </c>
      <c r="BB31" s="30">
        <f>MIN(AX31+(MAX(0,25-S31))^1.5,AZ31)</f>
        <v>6.083333333333333</v>
      </c>
      <c r="BC31" s="30" t="str">
        <f>IF(BB31&gt;9,"SuperStar",IF(BB31&gt;8,"Star",IF(BB31&gt;6.5,"GoodReg",IF(BB31&gt;5,"Reg",IF(BB31&gt;4,"Bench","Minors")))))</f>
        <v>Reg</v>
      </c>
      <c r="BD31" s="108">
        <f>COUNT(U31:AR31)/2</f>
        <v>4</v>
      </c>
      <c r="BE31" s="109">
        <f>COUNTIF(U31:AR31,"&gt;5")/2</f>
        <v>0.5</v>
      </c>
      <c r="BF31" s="27" t="str">
        <f>IF(AW31=1,"Yes","")</f>
        <v/>
      </c>
      <c r="BG31" s="27" t="str">
        <f>IF(A31="ML","There",IF(AVERAGE($R31:$T31)&gt;=6,"Likely",IF(AVERAGE($R31:$T31)&gt;=4,"Possible","Unlikely")))</f>
        <v>Possible</v>
      </c>
      <c r="BH31" t="str">
        <f>IF(AVERAGE(O31:Q31)&gt;=5.5,"ML",IF(AVERAGE(O31:Q31)&gt;=4.5,"AAA",IF(AVERAGE(O31:Q31)&gt;=4,"AA",IF(AVERAGE(O31:Q31)&gt;=3.5,"A","SS-A"))))</f>
        <v>AAA</v>
      </c>
      <c r="BI31">
        <f>SUM(O31:Q31)</f>
        <v>15</v>
      </c>
      <c r="BJ31">
        <f>SUM(R31:T31)</f>
        <v>16</v>
      </c>
      <c r="BK31">
        <f>O31-R31</f>
        <v>0</v>
      </c>
      <c r="BL31">
        <f>P31-S31</f>
        <v>0</v>
      </c>
      <c r="BM31">
        <f>Q31-T31</f>
        <v>-1</v>
      </c>
      <c r="BN31">
        <f>SUM(BK31:BM31)</f>
        <v>-1</v>
      </c>
    </row>
    <row r="32" spans="1:66">
      <c r="A32" s="96" t="s">
        <v>213</v>
      </c>
      <c r="B32" t="s">
        <v>110</v>
      </c>
      <c r="C32" t="str">
        <f>IF(OR(OR(M32="Very High",M32="High"),AND(OR(M32="Very High",M32="High",M32="Normal"),OR(N32="Very High",N32="High"))),"K","T")</f>
        <v>T</v>
      </c>
      <c r="D32" s="27" t="s">
        <v>110</v>
      </c>
      <c r="E32" s="27" t="s">
        <v>556</v>
      </c>
      <c r="F32" s="27" t="s">
        <v>384</v>
      </c>
      <c r="G32" s="27" t="s">
        <v>213</v>
      </c>
      <c r="H32" s="27">
        <v>31</v>
      </c>
      <c r="I32" s="27" t="s">
        <v>106</v>
      </c>
      <c r="J32" s="28" t="s">
        <v>106</v>
      </c>
      <c r="K32" s="27" t="s">
        <v>47</v>
      </c>
      <c r="L32" s="27" t="s">
        <v>47</v>
      </c>
      <c r="M32" s="27" t="s">
        <v>231</v>
      </c>
      <c r="N32" s="28" t="s">
        <v>228</v>
      </c>
      <c r="O32" s="27">
        <v>3</v>
      </c>
      <c r="P32" s="27">
        <v>5</v>
      </c>
      <c r="Q32" s="28">
        <v>7</v>
      </c>
      <c r="R32" s="27">
        <v>3</v>
      </c>
      <c r="S32" s="27">
        <v>5</v>
      </c>
      <c r="T32" s="28">
        <v>7</v>
      </c>
      <c r="U32" s="27">
        <v>4</v>
      </c>
      <c r="V32" s="27">
        <v>4</v>
      </c>
      <c r="W32" s="27">
        <v>3</v>
      </c>
      <c r="X32" s="27">
        <v>3</v>
      </c>
      <c r="Y32" s="27">
        <v>3</v>
      </c>
      <c r="Z32" s="27">
        <v>3</v>
      </c>
      <c r="AA32" s="27">
        <v>3</v>
      </c>
      <c r="AB32" s="27">
        <v>3</v>
      </c>
      <c r="AC32" s="27" t="s">
        <v>41</v>
      </c>
      <c r="AD32" s="27" t="s">
        <v>41</v>
      </c>
      <c r="AE32" s="27" t="s">
        <v>41</v>
      </c>
      <c r="AF32" s="27" t="s">
        <v>41</v>
      </c>
      <c r="AG32" s="27" t="s">
        <v>41</v>
      </c>
      <c r="AH32" s="27" t="s">
        <v>41</v>
      </c>
      <c r="AI32" s="27" t="s">
        <v>41</v>
      </c>
      <c r="AJ32" s="27" t="s">
        <v>41</v>
      </c>
      <c r="AK32" s="27">
        <v>2</v>
      </c>
      <c r="AL32" s="27">
        <v>2</v>
      </c>
      <c r="AM32" s="27" t="s">
        <v>41</v>
      </c>
      <c r="AN32" s="27" t="s">
        <v>41</v>
      </c>
      <c r="AO32" s="27" t="s">
        <v>41</v>
      </c>
      <c r="AP32" s="27" t="s">
        <v>41</v>
      </c>
      <c r="AQ32" s="27" t="s">
        <v>41</v>
      </c>
      <c r="AR32" s="28" t="s">
        <v>41</v>
      </c>
      <c r="AS32" s="27" t="s">
        <v>1</v>
      </c>
      <c r="AT32" s="27">
        <v>9</v>
      </c>
      <c r="AU32" s="82">
        <v>0.44</v>
      </c>
      <c r="AV32" s="86" t="s">
        <v>41</v>
      </c>
      <c r="AW32" s="28">
        <v>0</v>
      </c>
      <c r="AX32" s="29">
        <f>AVERAGE(O32:Q32)+0.25*MAX(0,(COUNT(U32,W32,Y32,AA32,AC32,AE32,AG32,AI32,AK32,AM32,AO32,AQ32)-3))+IF(AU32&gt;0.55,0.25,0)+IF(MAX(U32,W32,Y32,AA32,AC32,AE32,AG32,AI32,AK32,AM32,AO32,AQ32)&gt;5,0.25,0)</f>
        <v>5.5</v>
      </c>
      <c r="AY32" s="30" t="str">
        <f>IF(AX32&gt;9,"SuperStar",IF(AX32&gt;8,"Star",IF(AX32&gt;6.5,"GoodReg",IF(AX32&gt;5,"Reg",IF(AX32&gt;4,"Bench","Minors")))))</f>
        <v>Reg</v>
      </c>
      <c r="AZ32" s="30">
        <f>AVERAGE(R32:T32)+0.25*MAX(0,(COUNT(V32,X32,Z32,AB32,AD32,AF32,AH32,AJ32,AL32,AN32,AP32,AR32)-3))+IF(AU32&gt;0.55,0.25,0)+IF(MAX(V32,X32,Z32,AB32,AD32,AF32,AH32,AJ32,AL32,AN32,AP32,AR32)&gt;5,0.25,0)</f>
        <v>5.5</v>
      </c>
      <c r="BA32" s="30" t="str">
        <f>IF(AZ32&gt;9,"SuperStar",IF(AZ32&gt;8,"Star",IF(AZ32&gt;6.5,"GoodReg",IF(AZ32&gt;5,"Reg",IF(AZ32&gt;4,"Bench","Minors")))))</f>
        <v>Reg</v>
      </c>
      <c r="BB32" s="30">
        <f>MIN(AX32+(MAX(0,25-S32))^1.5,AZ32)</f>
        <v>5.5</v>
      </c>
      <c r="BC32" s="30" t="str">
        <f>IF(BB32&gt;9,"SuperStar",IF(BB32&gt;8,"Star",IF(BB32&gt;6.5,"GoodReg",IF(BB32&gt;5,"Reg",IF(BB32&gt;4,"Bench","Minors")))))</f>
        <v>Reg</v>
      </c>
      <c r="BD32" s="108">
        <f>COUNT(U32:AR32)/2</f>
        <v>5</v>
      </c>
      <c r="BE32" s="109">
        <f>COUNTIF(U32:AR32,"&gt;5")/2</f>
        <v>0</v>
      </c>
      <c r="BF32" s="27" t="str">
        <f>IF(AW32=1,"Yes","")</f>
        <v/>
      </c>
      <c r="BG32" s="27" t="str">
        <f>IF(A32="ML","There",IF(AVERAGE($R32:$T32)&gt;=6,"Likely",IF(AVERAGE($R32:$T32)&gt;=4,"Possible","Unlikely")))</f>
        <v>Possible</v>
      </c>
      <c r="BH32" t="str">
        <f>IF(AVERAGE(O32:Q32)&gt;=5.5,"ML",IF(AVERAGE(O32:Q32)&gt;=4.5,"AAA",IF(AVERAGE(O32:Q32)&gt;=4,"AA",IF(AVERAGE(O32:Q32)&gt;=3.5,"A","SS-A"))))</f>
        <v>AAA</v>
      </c>
      <c r="BI32">
        <f>SUM(O32:Q32)</f>
        <v>15</v>
      </c>
      <c r="BJ32">
        <f>SUM(R32:T32)</f>
        <v>15</v>
      </c>
      <c r="BK32">
        <f>O32-R32</f>
        <v>0</v>
      </c>
      <c r="BL32">
        <f>P32-S32</f>
        <v>0</v>
      </c>
      <c r="BM32">
        <f>Q32-T32</f>
        <v>0</v>
      </c>
      <c r="BN32">
        <f>SUM(BK32:BM32)</f>
        <v>0</v>
      </c>
    </row>
    <row r="33" spans="1:66">
      <c r="A33" s="96" t="s">
        <v>213</v>
      </c>
      <c r="B33" t="s">
        <v>110</v>
      </c>
      <c r="C33" t="str">
        <f>IF(OR(OR(M33="Very High",M33="High"),AND(OR(M33="Very High",M33="High",M33="Normal"),OR(N33="Very High",N33="High"))),"K","T")</f>
        <v>T</v>
      </c>
      <c r="D33" s="27" t="s">
        <v>110</v>
      </c>
      <c r="E33" s="27" t="s">
        <v>10</v>
      </c>
      <c r="F33" s="27" t="s">
        <v>384</v>
      </c>
      <c r="G33" s="27" t="s">
        <v>213</v>
      </c>
      <c r="H33" s="27">
        <v>24</v>
      </c>
      <c r="I33" s="27" t="s">
        <v>106</v>
      </c>
      <c r="J33" s="28" t="s">
        <v>106</v>
      </c>
      <c r="K33" s="27" t="s">
        <v>42</v>
      </c>
      <c r="L33" s="27" t="s">
        <v>42</v>
      </c>
      <c r="M33" s="27" t="s">
        <v>232</v>
      </c>
      <c r="N33" s="28" t="s">
        <v>229</v>
      </c>
      <c r="O33" s="27">
        <v>5</v>
      </c>
      <c r="P33" s="27">
        <v>6</v>
      </c>
      <c r="Q33" s="28">
        <v>4</v>
      </c>
      <c r="R33" s="27">
        <v>5</v>
      </c>
      <c r="S33" s="27">
        <v>6</v>
      </c>
      <c r="T33" s="28">
        <v>6</v>
      </c>
      <c r="U33" s="27">
        <v>6</v>
      </c>
      <c r="V33" s="27">
        <v>6</v>
      </c>
      <c r="W33" s="27">
        <v>5</v>
      </c>
      <c r="X33" s="27">
        <v>5</v>
      </c>
      <c r="Y33" s="27" t="s">
        <v>41</v>
      </c>
      <c r="Z33" s="27" t="s">
        <v>41</v>
      </c>
      <c r="AA33" s="27" t="s">
        <v>41</v>
      </c>
      <c r="AB33" s="27" t="s">
        <v>41</v>
      </c>
      <c r="AC33" s="27" t="s">
        <v>41</v>
      </c>
      <c r="AD33" s="27" t="s">
        <v>41</v>
      </c>
      <c r="AE33" s="27" t="s">
        <v>41</v>
      </c>
      <c r="AF33" s="27" t="s">
        <v>41</v>
      </c>
      <c r="AG33" s="27" t="s">
        <v>41</v>
      </c>
      <c r="AH33" s="27" t="s">
        <v>41</v>
      </c>
      <c r="AI33" s="27" t="s">
        <v>41</v>
      </c>
      <c r="AJ33" s="27" t="s">
        <v>41</v>
      </c>
      <c r="AK33" s="27" t="s">
        <v>41</v>
      </c>
      <c r="AL33" s="27" t="s">
        <v>41</v>
      </c>
      <c r="AM33" s="27" t="s">
        <v>41</v>
      </c>
      <c r="AN33" s="27" t="s">
        <v>41</v>
      </c>
      <c r="AO33" s="27" t="s">
        <v>41</v>
      </c>
      <c r="AP33" s="27" t="s">
        <v>41</v>
      </c>
      <c r="AQ33" s="27" t="s">
        <v>41</v>
      </c>
      <c r="AR33" s="28" t="s">
        <v>41</v>
      </c>
      <c r="AS33" s="27" t="s">
        <v>11</v>
      </c>
      <c r="AT33" s="27">
        <v>3</v>
      </c>
      <c r="AU33" s="82">
        <v>0.53</v>
      </c>
      <c r="AV33" s="86" t="s">
        <v>41</v>
      </c>
      <c r="AW33" s="28">
        <v>0</v>
      </c>
      <c r="AX33" s="29">
        <f>AVERAGE(O33:Q33)+0.25*MAX(0,(COUNT(U33,W33,Y33,AA33,AC33,AE33,AG33,AI33,AK33,AM33,AO33,AQ33)-3))+IF(AU33&gt;0.55,0.25,0)+IF(MAX(U33,W33,Y33,AA33,AC33,AE33,AG33,AI33,AK33,AM33,AO33,AQ33)&gt;5,0.25,0)</f>
        <v>5.25</v>
      </c>
      <c r="AY33" s="30" t="str">
        <f>IF(AX33&gt;9,"SuperStar",IF(AX33&gt;8,"Star",IF(AX33&gt;6.5,"GoodReg",IF(AX33&gt;5,"Reg",IF(AX33&gt;4,"Bench","Minors")))))</f>
        <v>Reg</v>
      </c>
      <c r="AZ33" s="30">
        <f>AVERAGE(R33:T33)+0.25*MAX(0,(COUNT(V33,X33,Z33,AB33,AD33,AF33,AH33,AJ33,AL33,AN33,AP33,AR33)-3))+IF(AU33&gt;0.55,0.25,0)+IF(MAX(V33,X33,Z33,AB33,AD33,AF33,AH33,AJ33,AL33,AN33,AP33,AR33)&gt;5,0.25,0)</f>
        <v>5.916666666666667</v>
      </c>
      <c r="BA33" s="30" t="str">
        <f>IF(AZ33&gt;9,"SuperStar",IF(AZ33&gt;8,"Star",IF(AZ33&gt;6.5,"GoodReg",IF(AZ33&gt;5,"Reg",IF(AZ33&gt;4,"Bench","Minors")))))</f>
        <v>Reg</v>
      </c>
      <c r="BB33" s="30">
        <f>MIN(AX33+(MAX(0,25-S33))^1.5,AZ33)</f>
        <v>5.916666666666667</v>
      </c>
      <c r="BC33" s="30" t="str">
        <f>IF(BB33&gt;9,"SuperStar",IF(BB33&gt;8,"Star",IF(BB33&gt;6.5,"GoodReg",IF(BB33&gt;5,"Reg",IF(BB33&gt;4,"Bench","Minors")))))</f>
        <v>Reg</v>
      </c>
      <c r="BD33" s="108">
        <f>COUNT(U33:AR33)/2</f>
        <v>2</v>
      </c>
      <c r="BE33" s="109">
        <f>COUNTIF(U33:AR33,"&gt;5")/2</f>
        <v>1</v>
      </c>
      <c r="BF33" s="27" t="str">
        <f>IF(AW33=1,"Yes","")</f>
        <v/>
      </c>
      <c r="BG33" s="27" t="str">
        <f>IF(A33="ML","There",IF(AVERAGE($R33:$T33)&gt;=6,"Likely",IF(AVERAGE($R33:$T33)&gt;=4,"Possible","Unlikely")))</f>
        <v>Possible</v>
      </c>
      <c r="BH33" t="str">
        <f>IF(AVERAGE(O33:Q33)&gt;=5.5,"ML",IF(AVERAGE(O33:Q33)&gt;=4.5,"AAA",IF(AVERAGE(O33:Q33)&gt;=4,"AA",IF(AVERAGE(O33:Q33)&gt;=3.5,"A","SS-A"))))</f>
        <v>AAA</v>
      </c>
      <c r="BI33">
        <f>SUM(O33:Q33)</f>
        <v>15</v>
      </c>
      <c r="BJ33">
        <f>SUM(R33:T33)</f>
        <v>17</v>
      </c>
      <c r="BK33">
        <f>O33-R33</f>
        <v>0</v>
      </c>
      <c r="BL33">
        <f>P33-S33</f>
        <v>0</v>
      </c>
      <c r="BM33">
        <f>Q33-T33</f>
        <v>-2</v>
      </c>
      <c r="BN33">
        <f>SUM(BK33:BM33)</f>
        <v>-2</v>
      </c>
    </row>
    <row r="34" spans="1:66">
      <c r="A34" s="96" t="s">
        <v>213</v>
      </c>
      <c r="B34" t="s">
        <v>112</v>
      </c>
      <c r="C34" t="str">
        <f>IF(OR(OR(M34="Very High",M34="High"),AND(OR(M34="Very High",M34="High",M34="Normal"),OR(N34="Very High",N34="High"))),"K","T")</f>
        <v>T</v>
      </c>
      <c r="D34" s="27" t="s">
        <v>110</v>
      </c>
      <c r="E34" s="27" t="s">
        <v>445</v>
      </c>
      <c r="F34" s="27" t="s">
        <v>384</v>
      </c>
      <c r="G34" s="27" t="s">
        <v>213</v>
      </c>
      <c r="H34" s="27">
        <v>22</v>
      </c>
      <c r="I34" s="27" t="s">
        <v>107</v>
      </c>
      <c r="J34" s="28" t="s">
        <v>107</v>
      </c>
      <c r="K34" s="27" t="s">
        <v>42</v>
      </c>
      <c r="L34" s="27" t="s">
        <v>42</v>
      </c>
      <c r="M34" s="27" t="s">
        <v>231</v>
      </c>
      <c r="N34" s="28" t="s">
        <v>228</v>
      </c>
      <c r="O34" s="27">
        <v>9</v>
      </c>
      <c r="P34" s="27">
        <v>5</v>
      </c>
      <c r="Q34" s="28">
        <v>4</v>
      </c>
      <c r="R34" s="27">
        <v>9</v>
      </c>
      <c r="S34" s="27">
        <v>5</v>
      </c>
      <c r="T34" s="28">
        <v>5</v>
      </c>
      <c r="U34" s="27">
        <v>9</v>
      </c>
      <c r="V34" s="27">
        <v>9</v>
      </c>
      <c r="W34" s="27" t="s">
        <v>41</v>
      </c>
      <c r="X34" s="27" t="s">
        <v>41</v>
      </c>
      <c r="Y34" s="27" t="s">
        <v>41</v>
      </c>
      <c r="Z34" s="27" t="s">
        <v>41</v>
      </c>
      <c r="AA34" s="27">
        <v>8</v>
      </c>
      <c r="AB34" s="27">
        <v>8</v>
      </c>
      <c r="AC34" s="27" t="s">
        <v>41</v>
      </c>
      <c r="AD34" s="27" t="s">
        <v>41</v>
      </c>
      <c r="AE34" s="27" t="s">
        <v>41</v>
      </c>
      <c r="AF34" s="27" t="s">
        <v>41</v>
      </c>
      <c r="AG34" s="27" t="s">
        <v>41</v>
      </c>
      <c r="AH34" s="27" t="s">
        <v>41</v>
      </c>
      <c r="AI34" s="27" t="s">
        <v>41</v>
      </c>
      <c r="AJ34" s="27" t="s">
        <v>41</v>
      </c>
      <c r="AK34" s="27" t="s">
        <v>41</v>
      </c>
      <c r="AL34" s="27" t="s">
        <v>41</v>
      </c>
      <c r="AM34" s="27" t="s">
        <v>41</v>
      </c>
      <c r="AN34" s="27" t="s">
        <v>41</v>
      </c>
      <c r="AO34" s="27" t="s">
        <v>41</v>
      </c>
      <c r="AP34" s="27" t="s">
        <v>41</v>
      </c>
      <c r="AQ34" s="27" t="s">
        <v>41</v>
      </c>
      <c r="AR34" s="28" t="s">
        <v>41</v>
      </c>
      <c r="AS34" s="27" t="s">
        <v>252</v>
      </c>
      <c r="AT34" s="27">
        <v>2</v>
      </c>
      <c r="AU34" s="82">
        <v>0.37</v>
      </c>
      <c r="AV34" s="86" t="s">
        <v>41</v>
      </c>
      <c r="AW34" s="28">
        <v>0</v>
      </c>
      <c r="AX34" s="29">
        <f>AVERAGE(O34:Q34)+0.25*MAX(0,(COUNT(U34,W34,Y34,AA34,AC34,AE34,AG34,AI34,AK34,AM34,AO34,AQ34)-3))+IF(AU34&gt;0.55,0.25,0)+IF(MAX(U34,W34,Y34,AA34,AC34,AE34,AG34,AI34,AK34,AM34,AO34,AQ34)&gt;5,0.25,0)</f>
        <v>6.25</v>
      </c>
      <c r="AY34" s="30" t="str">
        <f>IF(AX34&gt;9,"SuperStar",IF(AX34&gt;8,"Star",IF(AX34&gt;6.5,"GoodReg",IF(AX34&gt;5,"Reg",IF(AX34&gt;4,"Bench","Minors")))))</f>
        <v>Reg</v>
      </c>
      <c r="AZ34" s="30">
        <f>AVERAGE(R34:T34)+0.25*MAX(0,(COUNT(V34,X34,Z34,AB34,AD34,AF34,AH34,AJ34,AL34,AN34,AP34,AR34)-3))+IF(AU34&gt;0.55,0.25,0)+IF(MAX(V34,X34,Z34,AB34,AD34,AF34,AH34,AJ34,AL34,AN34,AP34,AR34)&gt;5,0.25,0)</f>
        <v>6.583333333333333</v>
      </c>
      <c r="BA34" s="30" t="str">
        <f>IF(AZ34&gt;9,"SuperStar",IF(AZ34&gt;8,"Star",IF(AZ34&gt;6.5,"GoodReg",IF(AZ34&gt;5,"Reg",IF(AZ34&gt;4,"Bench","Minors")))))</f>
        <v>GoodReg</v>
      </c>
      <c r="BB34" s="30">
        <f>MIN(AX34+(MAX(0,25-S34))^1.5,AZ34)</f>
        <v>6.583333333333333</v>
      </c>
      <c r="BC34" s="30" t="str">
        <f>IF(BB34&gt;9,"SuperStar",IF(BB34&gt;8,"Star",IF(BB34&gt;6.5,"GoodReg",IF(BB34&gt;5,"Reg",IF(BB34&gt;4,"Bench","Minors")))))</f>
        <v>GoodReg</v>
      </c>
      <c r="BD34" s="108">
        <f>COUNT(U34:AR34)/2</f>
        <v>2</v>
      </c>
      <c r="BE34" s="109">
        <f>COUNTIF(U34:AR34,"&gt;5")/2</f>
        <v>2</v>
      </c>
      <c r="BF34" s="27" t="str">
        <f>IF(AW34=1,"Yes","")</f>
        <v/>
      </c>
      <c r="BG34" s="27" t="str">
        <f>IF(A34="ML","There",IF(AVERAGE($R34:$T34)&gt;=6,"Likely",IF(AVERAGE($R34:$T34)&gt;=4,"Possible","Unlikely")))</f>
        <v>Likely</v>
      </c>
      <c r="BH34" t="str">
        <f>IF(AVERAGE(O34:Q34)&gt;=5.5,"ML",IF(AVERAGE(O34:Q34)&gt;=4.5,"AAA",IF(AVERAGE(O34:Q34)&gt;=4,"AA",IF(AVERAGE(O34:Q34)&gt;=3.5,"A","SS-A"))))</f>
        <v>ML</v>
      </c>
      <c r="BI34">
        <f>SUM(O34:Q34)</f>
        <v>18</v>
      </c>
      <c r="BJ34">
        <f>SUM(R34:T34)</f>
        <v>19</v>
      </c>
      <c r="BK34">
        <f>O34-R34</f>
        <v>0</v>
      </c>
      <c r="BL34">
        <f>P34-S34</f>
        <v>0</v>
      </c>
      <c r="BM34">
        <f>Q34-T34</f>
        <v>-1</v>
      </c>
      <c r="BN34">
        <f>SUM(BK34:BM34)</f>
        <v>-1</v>
      </c>
    </row>
    <row r="35" spans="1:66">
      <c r="A35" s="96" t="s">
        <v>214</v>
      </c>
      <c r="B35" t="s">
        <v>111</v>
      </c>
      <c r="C35" t="str">
        <f>IF(OR(OR(M35="Very High",M35="High"),AND(OR(M35="Very High",M35="High",M35="Normal"),OR(N35="Very High",N35="High"))),"K","T")</f>
        <v>K</v>
      </c>
      <c r="D35" s="27" t="s">
        <v>110</v>
      </c>
      <c r="E35" s="27" t="s">
        <v>586</v>
      </c>
      <c r="F35" s="27" t="s">
        <v>385</v>
      </c>
      <c r="G35" s="27" t="s">
        <v>214</v>
      </c>
      <c r="H35" s="27">
        <v>31</v>
      </c>
      <c r="I35" s="27" t="s">
        <v>106</v>
      </c>
      <c r="J35" s="28" t="s">
        <v>107</v>
      </c>
      <c r="K35" s="27" t="s">
        <v>42</v>
      </c>
      <c r="L35" s="27" t="s">
        <v>42</v>
      </c>
      <c r="M35" s="27" t="s">
        <v>228</v>
      </c>
      <c r="N35" s="28" t="s">
        <v>228</v>
      </c>
      <c r="O35" s="27">
        <v>6</v>
      </c>
      <c r="P35" s="27">
        <v>6</v>
      </c>
      <c r="Q35" s="28">
        <v>6</v>
      </c>
      <c r="R35" s="27">
        <v>6</v>
      </c>
      <c r="S35" s="27">
        <v>6</v>
      </c>
      <c r="T35" s="28">
        <v>6</v>
      </c>
      <c r="U35" s="27">
        <v>5</v>
      </c>
      <c r="V35" s="27">
        <v>5</v>
      </c>
      <c r="W35" s="27">
        <v>3</v>
      </c>
      <c r="X35" s="27">
        <v>4</v>
      </c>
      <c r="Y35" s="27">
        <v>7</v>
      </c>
      <c r="Z35" s="27">
        <v>7</v>
      </c>
      <c r="AA35" s="27">
        <v>2</v>
      </c>
      <c r="AB35" s="27">
        <v>2</v>
      </c>
      <c r="AC35" s="27" t="s">
        <v>41</v>
      </c>
      <c r="AD35" s="27" t="s">
        <v>41</v>
      </c>
      <c r="AE35" s="27" t="s">
        <v>41</v>
      </c>
      <c r="AF35" s="27" t="s">
        <v>41</v>
      </c>
      <c r="AG35" s="27" t="s">
        <v>41</v>
      </c>
      <c r="AH35" s="27" t="s">
        <v>41</v>
      </c>
      <c r="AI35" s="27">
        <v>6</v>
      </c>
      <c r="AJ35" s="27">
        <v>6</v>
      </c>
      <c r="AK35" s="27" t="s">
        <v>41</v>
      </c>
      <c r="AL35" s="27" t="s">
        <v>41</v>
      </c>
      <c r="AM35" s="27" t="s">
        <v>41</v>
      </c>
      <c r="AN35" s="27" t="s">
        <v>41</v>
      </c>
      <c r="AO35" s="27" t="s">
        <v>41</v>
      </c>
      <c r="AP35" s="27" t="s">
        <v>41</v>
      </c>
      <c r="AQ35" s="27" t="s">
        <v>41</v>
      </c>
      <c r="AR35" s="28" t="s">
        <v>41</v>
      </c>
      <c r="AS35" s="27" t="s">
        <v>1</v>
      </c>
      <c r="AT35" s="27">
        <v>5</v>
      </c>
      <c r="AU35" s="82">
        <v>0.43</v>
      </c>
      <c r="AV35" s="86" t="s">
        <v>41</v>
      </c>
      <c r="AW35" s="28">
        <v>0</v>
      </c>
      <c r="AX35" s="29">
        <f>AVERAGE(O35:Q35)+0.25*MAX(0,(COUNT(U35,W35,Y35,AA35,AC35,AE35,AG35,AI35,AK35,AM35,AO35,AQ35)-3))+IF(AU35&gt;0.55,0.25,0)+IF(MAX(U35,W35,Y35,AA35,AC35,AE35,AG35,AI35,AK35,AM35,AO35,AQ35)&gt;5,0.25,0)</f>
        <v>6.75</v>
      </c>
      <c r="AY35" s="30" t="str">
        <f>IF(AX35&gt;9,"SuperStar",IF(AX35&gt;8,"Star",IF(AX35&gt;6.5,"GoodReg",IF(AX35&gt;5,"Reg",IF(AX35&gt;4,"Bench","Minors")))))</f>
        <v>GoodReg</v>
      </c>
      <c r="AZ35" s="30">
        <f>AVERAGE(R35:T35)+0.25*MAX(0,(COUNT(V35,X35,Z35,AB35,AD35,AF35,AH35,AJ35,AL35,AN35,AP35,AR35)-3))+IF(AU35&gt;0.55,0.25,0)+IF(MAX(V35,X35,Z35,AB35,AD35,AF35,AH35,AJ35,AL35,AN35,AP35,AR35)&gt;5,0.25,0)</f>
        <v>6.75</v>
      </c>
      <c r="BA35" s="30" t="str">
        <f>IF(AZ35&gt;9,"SuperStar",IF(AZ35&gt;8,"Star",IF(AZ35&gt;6.5,"GoodReg",IF(AZ35&gt;5,"Reg",IF(AZ35&gt;4,"Bench","Minors")))))</f>
        <v>GoodReg</v>
      </c>
      <c r="BB35" s="30">
        <f>MIN(AX35+(MAX(0,25-S35))^1.5,AZ35)</f>
        <v>6.75</v>
      </c>
      <c r="BC35" s="30" t="str">
        <f>IF(BB35&gt;9,"SuperStar",IF(BB35&gt;8,"Star",IF(BB35&gt;6.5,"GoodReg",IF(BB35&gt;5,"Reg",IF(BB35&gt;4,"Bench","Minors")))))</f>
        <v>GoodReg</v>
      </c>
      <c r="BD35" s="108">
        <f>COUNT(U35:AR35)/2</f>
        <v>5</v>
      </c>
      <c r="BE35" s="109">
        <f>COUNTIF(U35:AR35,"&gt;5")/2</f>
        <v>2</v>
      </c>
      <c r="BF35" s="27" t="str">
        <f>IF(AW35=1,"Yes","")</f>
        <v/>
      </c>
      <c r="BG35" s="27" t="str">
        <f>IF(A35="ML","There",IF(AVERAGE($R35:$T35)&gt;=6,"Likely",IF(AVERAGE($R35:$T35)&gt;=4,"Possible","Unlikely")))</f>
        <v>Likely</v>
      </c>
      <c r="BH35" t="str">
        <f>IF(AVERAGE(O35:Q35)&gt;=5.5,"ML",IF(AVERAGE(O35:Q35)&gt;=4.5,"AAA",IF(AVERAGE(O35:Q35)&gt;=4,"AA",IF(AVERAGE(O35:Q35)&gt;=3.5,"A","SS-A"))))</f>
        <v>ML</v>
      </c>
      <c r="BI35">
        <f>SUM(O35:Q35)</f>
        <v>18</v>
      </c>
      <c r="BJ35">
        <f>SUM(R35:T35)</f>
        <v>18</v>
      </c>
      <c r="BK35">
        <f>O35-R35</f>
        <v>0</v>
      </c>
      <c r="BL35">
        <f>P35-S35</f>
        <v>0</v>
      </c>
      <c r="BM35">
        <f>Q35-T35</f>
        <v>0</v>
      </c>
      <c r="BN35">
        <f>SUM(BK35:BM35)</f>
        <v>0</v>
      </c>
    </row>
    <row r="36" spans="1:66">
      <c r="A36" s="96" t="s">
        <v>214</v>
      </c>
      <c r="B36" t="s">
        <v>111</v>
      </c>
      <c r="C36" t="str">
        <f>IF(OR(OR(M36="Very High",M36="High"),AND(OR(M36="Very High",M36="High",M36="Normal"),OR(N36="Very High",N36="High"))),"K","T")</f>
        <v>T</v>
      </c>
      <c r="D36" s="27" t="s">
        <v>111</v>
      </c>
      <c r="E36" s="27" t="s">
        <v>421</v>
      </c>
      <c r="F36" s="27" t="s">
        <v>385</v>
      </c>
      <c r="G36" s="27" t="s">
        <v>214</v>
      </c>
      <c r="H36" s="27">
        <v>22</v>
      </c>
      <c r="I36" s="27" t="s">
        <v>106</v>
      </c>
      <c r="J36" s="28" t="s">
        <v>106</v>
      </c>
      <c r="K36" s="27" t="s">
        <v>47</v>
      </c>
      <c r="L36" s="27" t="s">
        <v>42</v>
      </c>
      <c r="M36" s="27" t="s">
        <v>231</v>
      </c>
      <c r="N36" s="28" t="s">
        <v>231</v>
      </c>
      <c r="O36" s="27">
        <v>6</v>
      </c>
      <c r="P36" s="27">
        <v>4</v>
      </c>
      <c r="Q36" s="28">
        <v>4</v>
      </c>
      <c r="R36" s="27">
        <v>6</v>
      </c>
      <c r="S36" s="27">
        <v>4</v>
      </c>
      <c r="T36" s="28">
        <v>5</v>
      </c>
      <c r="U36" s="27">
        <v>6</v>
      </c>
      <c r="V36" s="27">
        <v>6</v>
      </c>
      <c r="W36" s="27">
        <v>7</v>
      </c>
      <c r="X36" s="27">
        <v>7</v>
      </c>
      <c r="Y36" s="27">
        <v>6</v>
      </c>
      <c r="Z36" s="27">
        <v>6</v>
      </c>
      <c r="AA36" s="27" t="s">
        <v>41</v>
      </c>
      <c r="AB36" s="27" t="s">
        <v>41</v>
      </c>
      <c r="AC36" s="27">
        <v>5</v>
      </c>
      <c r="AD36" s="27">
        <v>5</v>
      </c>
      <c r="AE36" s="27" t="s">
        <v>41</v>
      </c>
      <c r="AF36" s="27" t="s">
        <v>41</v>
      </c>
      <c r="AG36" s="27" t="s">
        <v>41</v>
      </c>
      <c r="AH36" s="27" t="s">
        <v>41</v>
      </c>
      <c r="AI36" s="27" t="s">
        <v>41</v>
      </c>
      <c r="AJ36" s="27" t="s">
        <v>41</v>
      </c>
      <c r="AK36" s="27" t="s">
        <v>41</v>
      </c>
      <c r="AL36" s="27" t="s">
        <v>41</v>
      </c>
      <c r="AM36" s="27" t="s">
        <v>41</v>
      </c>
      <c r="AN36" s="27" t="s">
        <v>41</v>
      </c>
      <c r="AO36" s="27" t="s">
        <v>41</v>
      </c>
      <c r="AP36" s="27" t="s">
        <v>41</v>
      </c>
      <c r="AQ36" s="27" t="s">
        <v>41</v>
      </c>
      <c r="AR36" s="28" t="s">
        <v>41</v>
      </c>
      <c r="AS36" s="27" t="s">
        <v>15</v>
      </c>
      <c r="AT36" s="27">
        <v>9</v>
      </c>
      <c r="AU36" s="82">
        <v>0.5</v>
      </c>
      <c r="AV36" s="86" t="s">
        <v>41</v>
      </c>
      <c r="AW36" s="28">
        <v>0</v>
      </c>
      <c r="AX36" s="29">
        <f>AVERAGE(O36:Q36)+0.25*MAX(0,(COUNT(U36,W36,Y36,AA36,AC36,AE36,AG36,AI36,AK36,AM36,AO36,AQ36)-3))+IF(AU36&gt;0.55,0.25,0)+IF(MAX(U36,W36,Y36,AA36,AC36,AE36,AG36,AI36,AK36,AM36,AO36,AQ36)&gt;5,0.25,0)</f>
        <v>5.166666666666667</v>
      </c>
      <c r="AY36" s="30" t="str">
        <f>IF(AX36&gt;9,"SuperStar",IF(AX36&gt;8,"Star",IF(AX36&gt;6.5,"GoodReg",IF(AX36&gt;5,"Reg",IF(AX36&gt;4,"Bench","Minors")))))</f>
        <v>Reg</v>
      </c>
      <c r="AZ36" s="30">
        <f>AVERAGE(R36:T36)+0.25*MAX(0,(COUNT(V36,X36,Z36,AB36,AD36,AF36,AH36,AJ36,AL36,AN36,AP36,AR36)-3))+IF(AU36&gt;0.55,0.25,0)+IF(MAX(V36,X36,Z36,AB36,AD36,AF36,AH36,AJ36,AL36,AN36,AP36,AR36)&gt;5,0.25,0)</f>
        <v>5.5</v>
      </c>
      <c r="BA36" s="30" t="str">
        <f>IF(AZ36&gt;9,"SuperStar",IF(AZ36&gt;8,"Star",IF(AZ36&gt;6.5,"GoodReg",IF(AZ36&gt;5,"Reg",IF(AZ36&gt;4,"Bench","Minors")))))</f>
        <v>Reg</v>
      </c>
      <c r="BB36" s="30">
        <f>MIN(AX36+(MAX(0,25-S36))^1.5,AZ36)</f>
        <v>5.5</v>
      </c>
      <c r="BC36" s="30" t="str">
        <f>IF(BB36&gt;9,"SuperStar",IF(BB36&gt;8,"Star",IF(BB36&gt;6.5,"GoodReg",IF(BB36&gt;5,"Reg",IF(BB36&gt;4,"Bench","Minors")))))</f>
        <v>Reg</v>
      </c>
      <c r="BD36" s="108">
        <f>COUNT(U36:AR36)/2</f>
        <v>4</v>
      </c>
      <c r="BE36" s="109">
        <f>COUNTIF(U36:AR36,"&gt;5")/2</f>
        <v>3</v>
      </c>
      <c r="BF36" s="27" t="str">
        <f>IF(AW36=1,"Yes","")</f>
        <v/>
      </c>
      <c r="BG36" s="27" t="str">
        <f>IF(A36="ML","There",IF(AVERAGE($R36:$T36)&gt;=6,"Likely",IF(AVERAGE($R36:$T36)&gt;=4,"Possible","Unlikely")))</f>
        <v>Possible</v>
      </c>
      <c r="BH36" t="str">
        <f>IF(AVERAGE(O36:Q36)&gt;=5.5,"ML",IF(AVERAGE(O36:Q36)&gt;=4.5,"AAA",IF(AVERAGE(O36:Q36)&gt;=4,"AA",IF(AVERAGE(O36:Q36)&gt;=3.5,"A","SS-A"))))</f>
        <v>AAA</v>
      </c>
      <c r="BI36">
        <f>SUM(O36:Q36)</f>
        <v>14</v>
      </c>
      <c r="BJ36">
        <f>SUM(R36:T36)</f>
        <v>15</v>
      </c>
      <c r="BK36">
        <f>O36-R36</f>
        <v>0</v>
      </c>
      <c r="BL36">
        <f>P36-S36</f>
        <v>0</v>
      </c>
      <c r="BM36">
        <f>Q36-T36</f>
        <v>-1</v>
      </c>
      <c r="BN36">
        <f>SUM(BK36:BM36)</f>
        <v>-1</v>
      </c>
    </row>
    <row r="37" spans="1:66">
      <c r="A37" s="96" t="s">
        <v>214</v>
      </c>
      <c r="B37" t="s">
        <v>111</v>
      </c>
      <c r="C37" t="str">
        <f>IF(OR(OR(M37="Very High",M37="High"),AND(OR(M37="Very High",M37="High",M37="Normal"),OR(N37="Very High",N37="High"))),"K","T")</f>
        <v>T</v>
      </c>
      <c r="D37" s="27" t="s">
        <v>111</v>
      </c>
      <c r="E37" s="27" t="s">
        <v>511</v>
      </c>
      <c r="F37" s="27" t="s">
        <v>386</v>
      </c>
      <c r="G37" s="27" t="s">
        <v>215</v>
      </c>
      <c r="H37" s="27">
        <v>22</v>
      </c>
      <c r="I37" s="27" t="s">
        <v>107</v>
      </c>
      <c r="J37" s="28" t="s">
        <v>107</v>
      </c>
      <c r="K37" s="27" t="s">
        <v>47</v>
      </c>
      <c r="L37" s="27" t="s">
        <v>42</v>
      </c>
      <c r="M37" s="27" t="s">
        <v>230</v>
      </c>
      <c r="N37" s="28" t="s">
        <v>230</v>
      </c>
      <c r="O37" s="27">
        <v>7</v>
      </c>
      <c r="P37" s="27">
        <v>4</v>
      </c>
      <c r="Q37" s="28">
        <v>2</v>
      </c>
      <c r="R37" s="27">
        <v>7</v>
      </c>
      <c r="S37" s="27">
        <v>4</v>
      </c>
      <c r="T37" s="28">
        <v>4</v>
      </c>
      <c r="U37" s="27">
        <v>8</v>
      </c>
      <c r="V37" s="27">
        <v>8</v>
      </c>
      <c r="W37" s="27">
        <v>5</v>
      </c>
      <c r="X37" s="27">
        <v>6</v>
      </c>
      <c r="Y37" s="27">
        <v>3</v>
      </c>
      <c r="Z37" s="27">
        <v>3</v>
      </c>
      <c r="AA37" s="27" t="s">
        <v>41</v>
      </c>
      <c r="AB37" s="27" t="s">
        <v>41</v>
      </c>
      <c r="AC37" s="27" t="s">
        <v>41</v>
      </c>
      <c r="AD37" s="27" t="s">
        <v>41</v>
      </c>
      <c r="AE37" s="27" t="s">
        <v>41</v>
      </c>
      <c r="AF37" s="27" t="s">
        <v>41</v>
      </c>
      <c r="AG37" s="27" t="s">
        <v>41</v>
      </c>
      <c r="AH37" s="27" t="s">
        <v>41</v>
      </c>
      <c r="AI37" s="27">
        <v>7</v>
      </c>
      <c r="AJ37" s="27">
        <v>7</v>
      </c>
      <c r="AK37" s="27" t="s">
        <v>41</v>
      </c>
      <c r="AL37" s="27" t="s">
        <v>41</v>
      </c>
      <c r="AM37" s="27" t="s">
        <v>41</v>
      </c>
      <c r="AN37" s="27" t="s">
        <v>41</v>
      </c>
      <c r="AO37" s="27" t="s">
        <v>41</v>
      </c>
      <c r="AP37" s="27" t="s">
        <v>41</v>
      </c>
      <c r="AQ37" s="27" t="s">
        <v>41</v>
      </c>
      <c r="AR37" s="28" t="s">
        <v>41</v>
      </c>
      <c r="AS37" s="27" t="s">
        <v>419</v>
      </c>
      <c r="AT37" s="27">
        <v>5</v>
      </c>
      <c r="AU37" s="82">
        <v>0.45</v>
      </c>
      <c r="AV37" s="86" t="s">
        <v>41</v>
      </c>
      <c r="AW37" s="28">
        <v>0</v>
      </c>
      <c r="AX37" s="29">
        <f>AVERAGE(O37:Q37)+0.25*MAX(0,(COUNT(U37,W37,Y37,AA37,AC37,AE37,AG37,AI37,AK37,AM37,AO37,AQ37)-3))+IF(AU37&gt;0.55,0.25,0)+IF(MAX(U37,W37,Y37,AA37,AC37,AE37,AG37,AI37,AK37,AM37,AO37,AQ37)&gt;5,0.25,0)</f>
        <v>4.833333333333333</v>
      </c>
      <c r="AY37" s="30" t="str">
        <f>IF(AX37&gt;9,"SuperStar",IF(AX37&gt;8,"Star",IF(AX37&gt;6.5,"GoodReg",IF(AX37&gt;5,"Reg",IF(AX37&gt;4,"Bench","Minors")))))</f>
        <v>Bench</v>
      </c>
      <c r="AZ37" s="30">
        <f>AVERAGE(R37:T37)+0.25*MAX(0,(COUNT(V37,X37,Z37,AB37,AD37,AF37,AH37,AJ37,AL37,AN37,AP37,AR37)-3))+IF(AU37&gt;0.55,0.25,0)+IF(MAX(V37,X37,Z37,AB37,AD37,AF37,AH37,AJ37,AL37,AN37,AP37,AR37)&gt;5,0.25,0)</f>
        <v>5.5</v>
      </c>
      <c r="BA37" s="30" t="str">
        <f>IF(AZ37&gt;9,"SuperStar",IF(AZ37&gt;8,"Star",IF(AZ37&gt;6.5,"GoodReg",IF(AZ37&gt;5,"Reg",IF(AZ37&gt;4,"Bench","Minors")))))</f>
        <v>Reg</v>
      </c>
      <c r="BB37" s="30">
        <f>MIN(AX37+(MAX(0,25-S37))^1.5,AZ37)</f>
        <v>5.5</v>
      </c>
      <c r="BC37" s="30" t="str">
        <f>IF(BB37&gt;9,"SuperStar",IF(BB37&gt;8,"Star",IF(BB37&gt;6.5,"GoodReg",IF(BB37&gt;5,"Reg",IF(BB37&gt;4,"Bench","Minors")))))</f>
        <v>Reg</v>
      </c>
      <c r="BD37" s="108">
        <f>COUNT(U37:AR37)/2</f>
        <v>4</v>
      </c>
      <c r="BE37" s="109">
        <f>COUNTIF(U37:AR37,"&gt;5")/2</f>
        <v>2.5</v>
      </c>
      <c r="BF37" s="27" t="str">
        <f>IF(AW37=1,"Yes","")</f>
        <v/>
      </c>
      <c r="BG37" s="27" t="str">
        <f>IF(A37="ML","There",IF(AVERAGE($R37:$T37)&gt;=6,"Likely",IF(AVERAGE($R37:$T37)&gt;=4,"Possible","Unlikely")))</f>
        <v>Possible</v>
      </c>
      <c r="BH37" t="str">
        <f>IF(AVERAGE(O37:Q37)&gt;=5.5,"ML",IF(AVERAGE(O37:Q37)&gt;=4.5,"AAA",IF(AVERAGE(O37:Q37)&gt;=4,"AA",IF(AVERAGE(O37:Q37)&gt;=3.5,"A","SS-A"))))</f>
        <v>AA</v>
      </c>
      <c r="BI37">
        <f>SUM(O37:Q37)</f>
        <v>13</v>
      </c>
      <c r="BJ37">
        <f>SUM(R37:T37)</f>
        <v>15</v>
      </c>
      <c r="BK37">
        <f>O37-R37</f>
        <v>0</v>
      </c>
      <c r="BL37">
        <f>P37-S37</f>
        <v>0</v>
      </c>
      <c r="BM37">
        <f>Q37-T37</f>
        <v>-2</v>
      </c>
      <c r="BN37">
        <f>SUM(BK37:BM37)</f>
        <v>-2</v>
      </c>
    </row>
    <row r="38" spans="1:66">
      <c r="A38" s="96" t="s">
        <v>214</v>
      </c>
      <c r="B38" t="s">
        <v>111</v>
      </c>
      <c r="C38" t="str">
        <f>IF(OR(OR(M38="Very High",M38="High"),AND(OR(M38="Very High",M38="High",M38="Normal"),OR(N38="Very High",N38="High"))),"K","T")</f>
        <v>K</v>
      </c>
      <c r="D38" s="27" t="s">
        <v>111</v>
      </c>
      <c r="E38" s="27" t="s">
        <v>575</v>
      </c>
      <c r="F38" s="27" t="s">
        <v>385</v>
      </c>
      <c r="G38" s="27" t="s">
        <v>214</v>
      </c>
      <c r="H38" s="27">
        <v>30</v>
      </c>
      <c r="I38" s="27" t="s">
        <v>106</v>
      </c>
      <c r="J38" s="28" t="s">
        <v>106</v>
      </c>
      <c r="K38" s="27" t="s">
        <v>47</v>
      </c>
      <c r="L38" s="27" t="s">
        <v>47</v>
      </c>
      <c r="M38" s="27" t="s">
        <v>229</v>
      </c>
      <c r="N38" s="28" t="s">
        <v>228</v>
      </c>
      <c r="O38" s="27">
        <v>6</v>
      </c>
      <c r="P38" s="27">
        <v>4</v>
      </c>
      <c r="Q38" s="28">
        <v>3</v>
      </c>
      <c r="R38" s="27">
        <v>6</v>
      </c>
      <c r="S38" s="27">
        <v>4</v>
      </c>
      <c r="T38" s="28">
        <v>3</v>
      </c>
      <c r="U38" s="27">
        <v>6</v>
      </c>
      <c r="V38" s="27">
        <v>6</v>
      </c>
      <c r="W38" s="27">
        <v>7</v>
      </c>
      <c r="X38" s="27">
        <v>7</v>
      </c>
      <c r="Y38" s="27" t="s">
        <v>41</v>
      </c>
      <c r="Z38" s="27" t="s">
        <v>41</v>
      </c>
      <c r="AA38" s="27">
        <v>7</v>
      </c>
      <c r="AB38" s="27">
        <v>7</v>
      </c>
      <c r="AC38" s="27">
        <v>6</v>
      </c>
      <c r="AD38" s="27">
        <v>6</v>
      </c>
      <c r="AE38" s="27" t="s">
        <v>41</v>
      </c>
      <c r="AF38" s="27" t="s">
        <v>41</v>
      </c>
      <c r="AG38" s="27" t="s">
        <v>41</v>
      </c>
      <c r="AH38" s="27" t="s">
        <v>41</v>
      </c>
      <c r="AI38" s="27" t="s">
        <v>41</v>
      </c>
      <c r="AJ38" s="27" t="s">
        <v>41</v>
      </c>
      <c r="AK38" s="27" t="s">
        <v>41</v>
      </c>
      <c r="AL38" s="27" t="s">
        <v>41</v>
      </c>
      <c r="AM38" s="27" t="s">
        <v>41</v>
      </c>
      <c r="AN38" s="27" t="s">
        <v>41</v>
      </c>
      <c r="AO38" s="27" t="s">
        <v>41</v>
      </c>
      <c r="AP38" s="27" t="s">
        <v>41</v>
      </c>
      <c r="AQ38" s="27" t="s">
        <v>41</v>
      </c>
      <c r="AR38" s="28" t="s">
        <v>41</v>
      </c>
      <c r="AS38" s="27" t="s">
        <v>2</v>
      </c>
      <c r="AT38" s="27">
        <v>6</v>
      </c>
      <c r="AU38" s="82">
        <v>0.36</v>
      </c>
      <c r="AV38" s="86" t="s">
        <v>41</v>
      </c>
      <c r="AW38" s="28" t="s">
        <v>45</v>
      </c>
      <c r="AX38" s="29">
        <f>AVERAGE(O38:Q38)+0.25*MAX(0,(COUNT(U38,W38,Y38,AA38,AC38,AE38,AG38,AI38,AK38,AM38,AO38,AQ38)-3))+IF(AU38&gt;0.55,0.25,0)+IF(MAX(U38,W38,Y38,AA38,AC38,AE38,AG38,AI38,AK38,AM38,AO38,AQ38)&gt;5,0.25,0)</f>
        <v>4.833333333333333</v>
      </c>
      <c r="AY38" s="30" t="str">
        <f>IF(AX38&gt;9,"SuperStar",IF(AX38&gt;8,"Star",IF(AX38&gt;6.5,"GoodReg",IF(AX38&gt;5,"Reg",IF(AX38&gt;4,"Bench","Minors")))))</f>
        <v>Bench</v>
      </c>
      <c r="AZ38" s="30">
        <f>AVERAGE(R38:T38)+0.25*MAX(0,(COUNT(V38,X38,Z38,AB38,AD38,AF38,AH38,AJ38,AL38,AN38,AP38,AR38)-3))+IF(AU38&gt;0.55,0.25,0)+IF(MAX(V38,X38,Z38,AB38,AD38,AF38,AH38,AJ38,AL38,AN38,AP38,AR38)&gt;5,0.25,0)</f>
        <v>4.833333333333333</v>
      </c>
      <c r="BA38" s="30" t="str">
        <f>IF(AZ38&gt;9,"SuperStar",IF(AZ38&gt;8,"Star",IF(AZ38&gt;6.5,"GoodReg",IF(AZ38&gt;5,"Reg",IF(AZ38&gt;4,"Bench","Minors")))))</f>
        <v>Bench</v>
      </c>
      <c r="BB38" s="30">
        <f>MIN(AX38+(MAX(0,25-S38))^1.5,AZ38)</f>
        <v>4.833333333333333</v>
      </c>
      <c r="BC38" s="30" t="str">
        <f>IF(BB38&gt;9,"SuperStar",IF(BB38&gt;8,"Star",IF(BB38&gt;6.5,"GoodReg",IF(BB38&gt;5,"Reg",IF(BB38&gt;4,"Bench","Minors")))))</f>
        <v>Bench</v>
      </c>
      <c r="BD38" s="108">
        <f>COUNT(U38:AR38)/2</f>
        <v>4</v>
      </c>
      <c r="BE38" s="109">
        <f>COUNTIF(U38:AR38,"&gt;5")/2</f>
        <v>4</v>
      </c>
      <c r="BF38" s="27" t="str">
        <f>IF(AW38=1,"Yes","")</f>
        <v/>
      </c>
      <c r="BG38" s="27" t="str">
        <f>IF(A38="ML","There",IF(AVERAGE($R38:$T38)&gt;=6,"Likely",IF(AVERAGE($R38:$T38)&gt;=4,"Possible","Unlikely")))</f>
        <v>Possible</v>
      </c>
      <c r="BH38" t="str">
        <f>IF(AVERAGE(O38:Q38)&gt;=5.5,"ML",IF(AVERAGE(O38:Q38)&gt;=4.5,"AAA",IF(AVERAGE(O38:Q38)&gt;=4,"AA",IF(AVERAGE(O38:Q38)&gt;=3.5,"A","SS-A"))))</f>
        <v>AA</v>
      </c>
      <c r="BI38">
        <f>SUM(O38:Q38)</f>
        <v>13</v>
      </c>
      <c r="BJ38">
        <f>SUM(R38:T38)</f>
        <v>13</v>
      </c>
      <c r="BK38">
        <f>O38-R38</f>
        <v>0</v>
      </c>
      <c r="BL38">
        <f>P38-S38</f>
        <v>0</v>
      </c>
      <c r="BM38">
        <f>Q38-T38</f>
        <v>0</v>
      </c>
      <c r="BN38">
        <f>SUM(BK38:BM38)</f>
        <v>0</v>
      </c>
    </row>
    <row r="39" spans="1:66">
      <c r="A39" s="96" t="s">
        <v>214</v>
      </c>
      <c r="B39" t="s">
        <v>111</v>
      </c>
      <c r="C39" t="str">
        <f>IF(OR(OR(M39="Very High",M39="High"),AND(OR(M39="Very High",M39="High",M39="Normal"),OR(N39="Very High",N39="High"))),"K","T")</f>
        <v>K</v>
      </c>
      <c r="D39" s="27" t="s">
        <v>111</v>
      </c>
      <c r="E39" s="27" t="s">
        <v>389</v>
      </c>
      <c r="F39" s="27" t="s">
        <v>385</v>
      </c>
      <c r="G39" s="27" t="s">
        <v>214</v>
      </c>
      <c r="H39" s="27">
        <v>21</v>
      </c>
      <c r="I39" s="27" t="s">
        <v>107</v>
      </c>
      <c r="J39" s="28" t="s">
        <v>107</v>
      </c>
      <c r="K39" s="27" t="s">
        <v>47</v>
      </c>
      <c r="L39" s="27" t="s">
        <v>42</v>
      </c>
      <c r="M39" s="27" t="s">
        <v>229</v>
      </c>
      <c r="N39" s="28" t="s">
        <v>230</v>
      </c>
      <c r="O39" s="27">
        <v>6</v>
      </c>
      <c r="P39" s="27">
        <v>4</v>
      </c>
      <c r="Q39" s="28">
        <v>3</v>
      </c>
      <c r="R39" s="27">
        <v>6</v>
      </c>
      <c r="S39" s="27">
        <v>4</v>
      </c>
      <c r="T39" s="28">
        <v>4</v>
      </c>
      <c r="U39" s="27">
        <v>7</v>
      </c>
      <c r="V39" s="27">
        <v>7</v>
      </c>
      <c r="W39" s="27" t="s">
        <v>41</v>
      </c>
      <c r="X39" s="27" t="s">
        <v>41</v>
      </c>
      <c r="Y39" s="27" t="s">
        <v>41</v>
      </c>
      <c r="Z39" s="27" t="s">
        <v>41</v>
      </c>
      <c r="AA39" s="27">
        <v>6</v>
      </c>
      <c r="AB39" s="27">
        <v>6</v>
      </c>
      <c r="AC39" s="27" t="s">
        <v>41</v>
      </c>
      <c r="AD39" s="27" t="s">
        <v>41</v>
      </c>
      <c r="AE39" s="27" t="s">
        <v>41</v>
      </c>
      <c r="AF39" s="27" t="s">
        <v>41</v>
      </c>
      <c r="AG39" s="27" t="s">
        <v>41</v>
      </c>
      <c r="AH39" s="27" t="s">
        <v>41</v>
      </c>
      <c r="AI39" s="27" t="s">
        <v>41</v>
      </c>
      <c r="AJ39" s="27" t="s">
        <v>41</v>
      </c>
      <c r="AK39" s="27">
        <v>5</v>
      </c>
      <c r="AL39" s="27">
        <v>5</v>
      </c>
      <c r="AM39" s="27" t="s">
        <v>41</v>
      </c>
      <c r="AN39" s="27" t="s">
        <v>41</v>
      </c>
      <c r="AO39" s="27" t="s">
        <v>41</v>
      </c>
      <c r="AP39" s="27" t="s">
        <v>41</v>
      </c>
      <c r="AQ39" s="27" t="s">
        <v>41</v>
      </c>
      <c r="AR39" s="28" t="s">
        <v>41</v>
      </c>
      <c r="AS39" s="27" t="s">
        <v>14</v>
      </c>
      <c r="AT39" s="27">
        <v>7</v>
      </c>
      <c r="AU39" s="82">
        <v>0.49</v>
      </c>
      <c r="AV39" s="86" t="s">
        <v>41</v>
      </c>
      <c r="AW39" s="28">
        <v>0</v>
      </c>
      <c r="AX39" s="29">
        <f>AVERAGE(O39:Q39)+0.25*MAX(0,(COUNT(U39,W39,Y39,AA39,AC39,AE39,AG39,AI39,AK39,AM39,AO39,AQ39)-3))+IF(AU39&gt;0.55,0.25,0)+IF(MAX(U39,W39,Y39,AA39,AC39,AE39,AG39,AI39,AK39,AM39,AO39,AQ39)&gt;5,0.25,0)</f>
        <v>4.583333333333333</v>
      </c>
      <c r="AY39" s="30" t="str">
        <f>IF(AX39&gt;9,"SuperStar",IF(AX39&gt;8,"Star",IF(AX39&gt;6.5,"GoodReg",IF(AX39&gt;5,"Reg",IF(AX39&gt;4,"Bench","Minors")))))</f>
        <v>Bench</v>
      </c>
      <c r="AZ39" s="30">
        <f>AVERAGE(R39:T39)+0.25*MAX(0,(COUNT(V39,X39,Z39,AB39,AD39,AF39,AH39,AJ39,AL39,AN39,AP39,AR39)-3))+IF(AU39&gt;0.55,0.25,0)+IF(MAX(V39,X39,Z39,AB39,AD39,AF39,AH39,AJ39,AL39,AN39,AP39,AR39)&gt;5,0.25,0)</f>
        <v>4.916666666666667</v>
      </c>
      <c r="BA39" s="30" t="str">
        <f>IF(AZ39&gt;9,"SuperStar",IF(AZ39&gt;8,"Star",IF(AZ39&gt;6.5,"GoodReg",IF(AZ39&gt;5,"Reg",IF(AZ39&gt;4,"Bench","Minors")))))</f>
        <v>Bench</v>
      </c>
      <c r="BB39" s="30">
        <f>MIN(AX39+(MAX(0,25-S39))^1.5,AZ39)</f>
        <v>4.916666666666667</v>
      </c>
      <c r="BC39" s="30" t="str">
        <f>IF(BB39&gt;9,"SuperStar",IF(BB39&gt;8,"Star",IF(BB39&gt;6.5,"GoodReg",IF(BB39&gt;5,"Reg",IF(BB39&gt;4,"Bench","Minors")))))</f>
        <v>Bench</v>
      </c>
      <c r="BD39" s="108">
        <f>COUNT(U39:AR39)/2</f>
        <v>3</v>
      </c>
      <c r="BE39" s="109">
        <f>COUNTIF(U39:AR39,"&gt;5")/2</f>
        <v>2</v>
      </c>
      <c r="BF39" s="27" t="str">
        <f>IF(AW39=1,"Yes","")</f>
        <v/>
      </c>
      <c r="BG39" s="27" t="str">
        <f>IF(A39="ML","There",IF(AVERAGE($R39:$T39)&gt;=6,"Likely",IF(AVERAGE($R39:$T39)&gt;=4,"Possible","Unlikely")))</f>
        <v>Possible</v>
      </c>
      <c r="BH39" t="str">
        <f>IF(AVERAGE(O39:Q39)&gt;=5.5,"ML",IF(AVERAGE(O39:Q39)&gt;=4.5,"AAA",IF(AVERAGE(O39:Q39)&gt;=4,"AA",IF(AVERAGE(O39:Q39)&gt;=3.5,"A","SS-A"))))</f>
        <v>AA</v>
      </c>
      <c r="BI39">
        <f>SUM(O39:Q39)</f>
        <v>13</v>
      </c>
      <c r="BJ39">
        <f>SUM(R39:T39)</f>
        <v>14</v>
      </c>
      <c r="BK39">
        <f>O39-R39</f>
        <v>0</v>
      </c>
      <c r="BL39">
        <f>P39-S39</f>
        <v>0</v>
      </c>
      <c r="BM39">
        <f>Q39-T39</f>
        <v>-1</v>
      </c>
      <c r="BN39">
        <f>SUM(BK39:BM39)</f>
        <v>-1</v>
      </c>
    </row>
    <row r="40" spans="1:66">
      <c r="A40" s="96" t="s">
        <v>214</v>
      </c>
      <c r="B40" t="s">
        <v>110</v>
      </c>
      <c r="C40" t="str">
        <f>IF(OR(OR(M40="Very High",M40="High"),AND(OR(M40="Very High",M40="High",M40="Normal"),OR(N40="Very High",N40="High"))),"K","T")</f>
        <v>T</v>
      </c>
      <c r="D40" s="27" t="s">
        <v>110</v>
      </c>
      <c r="E40" s="27" t="s">
        <v>444</v>
      </c>
      <c r="F40" s="27" t="s">
        <v>385</v>
      </c>
      <c r="G40" s="27" t="s">
        <v>214</v>
      </c>
      <c r="H40" s="27">
        <v>22</v>
      </c>
      <c r="I40" s="27" t="s">
        <v>107</v>
      </c>
      <c r="J40" s="28" t="s">
        <v>107</v>
      </c>
      <c r="K40" s="27" t="s">
        <v>42</v>
      </c>
      <c r="L40" s="27" t="s">
        <v>40</v>
      </c>
      <c r="M40" s="27" t="s">
        <v>231</v>
      </c>
      <c r="N40" s="28" t="s">
        <v>231</v>
      </c>
      <c r="O40" s="27">
        <v>9</v>
      </c>
      <c r="P40" s="27">
        <v>6</v>
      </c>
      <c r="Q40" s="28">
        <v>3</v>
      </c>
      <c r="R40" s="27">
        <v>9</v>
      </c>
      <c r="S40" s="27">
        <v>6</v>
      </c>
      <c r="T40" s="28">
        <v>4</v>
      </c>
      <c r="U40" s="27">
        <v>9</v>
      </c>
      <c r="V40" s="27">
        <v>9</v>
      </c>
      <c r="W40" s="27" t="s">
        <v>41</v>
      </c>
      <c r="X40" s="27" t="s">
        <v>41</v>
      </c>
      <c r="Y40" s="27" t="s">
        <v>41</v>
      </c>
      <c r="Z40" s="27" t="s">
        <v>41</v>
      </c>
      <c r="AA40" s="27">
        <v>7</v>
      </c>
      <c r="AB40" s="27">
        <v>7</v>
      </c>
      <c r="AC40" s="27">
        <v>6</v>
      </c>
      <c r="AD40" s="27">
        <v>6</v>
      </c>
      <c r="AE40" s="27" t="s">
        <v>41</v>
      </c>
      <c r="AF40" s="27" t="s">
        <v>41</v>
      </c>
      <c r="AG40" s="27" t="s">
        <v>41</v>
      </c>
      <c r="AH40" s="27" t="s">
        <v>41</v>
      </c>
      <c r="AI40" s="27" t="s">
        <v>41</v>
      </c>
      <c r="AJ40" s="27" t="s">
        <v>41</v>
      </c>
      <c r="AK40" s="27" t="s">
        <v>41</v>
      </c>
      <c r="AL40" s="27" t="s">
        <v>41</v>
      </c>
      <c r="AM40" s="27" t="s">
        <v>41</v>
      </c>
      <c r="AN40" s="27" t="s">
        <v>41</v>
      </c>
      <c r="AO40" s="27" t="s">
        <v>41</v>
      </c>
      <c r="AP40" s="27" t="s">
        <v>41</v>
      </c>
      <c r="AQ40" s="27" t="s">
        <v>41</v>
      </c>
      <c r="AR40" s="28" t="s">
        <v>41</v>
      </c>
      <c r="AS40" s="27" t="s">
        <v>456</v>
      </c>
      <c r="AT40" s="27">
        <v>2</v>
      </c>
      <c r="AU40" s="82">
        <v>0.5</v>
      </c>
      <c r="AV40" s="86" t="s">
        <v>41</v>
      </c>
      <c r="AW40" s="28">
        <v>0</v>
      </c>
      <c r="AX40" s="29">
        <f>AVERAGE(O40:Q40)+0.25*MAX(0,(COUNT(U40,W40,Y40,AA40,AC40,AE40,AG40,AI40,AK40,AM40,AO40,AQ40)-3))+IF(AU40&gt;0.55,0.25,0)+IF(MAX(U40,W40,Y40,AA40,AC40,AE40,AG40,AI40,AK40,AM40,AO40,AQ40)&gt;5,0.25,0)</f>
        <v>6.25</v>
      </c>
      <c r="AY40" s="30" t="str">
        <f>IF(AX40&gt;9,"SuperStar",IF(AX40&gt;8,"Star",IF(AX40&gt;6.5,"GoodReg",IF(AX40&gt;5,"Reg",IF(AX40&gt;4,"Bench","Minors")))))</f>
        <v>Reg</v>
      </c>
      <c r="AZ40" s="30">
        <f>AVERAGE(R40:T40)+0.25*MAX(0,(COUNT(V40,X40,Z40,AB40,AD40,AF40,AH40,AJ40,AL40,AN40,AP40,AR40)-3))+IF(AU40&gt;0.55,0.25,0)+IF(MAX(V40,X40,Z40,AB40,AD40,AF40,AH40,AJ40,AL40,AN40,AP40,AR40)&gt;5,0.25,0)</f>
        <v>6.583333333333333</v>
      </c>
      <c r="BA40" s="30" t="str">
        <f>IF(AZ40&gt;9,"SuperStar",IF(AZ40&gt;8,"Star",IF(AZ40&gt;6.5,"GoodReg",IF(AZ40&gt;5,"Reg",IF(AZ40&gt;4,"Bench","Minors")))))</f>
        <v>GoodReg</v>
      </c>
      <c r="BB40" s="30">
        <f>MIN(AX40+(MAX(0,25-S40))^1.5,AZ40)</f>
        <v>6.583333333333333</v>
      </c>
      <c r="BC40" s="30" t="str">
        <f>IF(BB40&gt;9,"SuperStar",IF(BB40&gt;8,"Star",IF(BB40&gt;6.5,"GoodReg",IF(BB40&gt;5,"Reg",IF(BB40&gt;4,"Bench","Minors")))))</f>
        <v>GoodReg</v>
      </c>
      <c r="BD40" s="108">
        <f>COUNT(U40:AR40)/2</f>
        <v>3</v>
      </c>
      <c r="BE40" s="109">
        <f>COUNTIF(U40:AR40,"&gt;5")/2</f>
        <v>3</v>
      </c>
      <c r="BF40" s="27" t="str">
        <f>IF(AW40=1,"Yes","")</f>
        <v/>
      </c>
      <c r="BG40" s="27" t="str">
        <f>IF(A40="ML","There",IF(AVERAGE($R40:$T40)&gt;=6,"Likely",IF(AVERAGE($R40:$T40)&gt;=4,"Possible","Unlikely")))</f>
        <v>Likely</v>
      </c>
      <c r="BH40" t="str">
        <f>IF(AVERAGE(O40:Q40)&gt;=5.5,"ML",IF(AVERAGE(O40:Q40)&gt;=4.5,"AAA",IF(AVERAGE(O40:Q40)&gt;=4,"AA",IF(AVERAGE(O40:Q40)&gt;=3.5,"A","SS-A"))))</f>
        <v>ML</v>
      </c>
      <c r="BI40">
        <f>SUM(O40:Q40)</f>
        <v>18</v>
      </c>
      <c r="BJ40">
        <f>SUM(R40:T40)</f>
        <v>19</v>
      </c>
      <c r="BK40">
        <f>O40-R40</f>
        <v>0</v>
      </c>
      <c r="BL40">
        <f>P40-S40</f>
        <v>0</v>
      </c>
      <c r="BM40">
        <f>Q40-T40</f>
        <v>-1</v>
      </c>
      <c r="BN40">
        <f>SUM(BK40:BM40)</f>
        <v>-1</v>
      </c>
    </row>
    <row r="41" spans="1:66">
      <c r="A41" s="96" t="s">
        <v>214</v>
      </c>
      <c r="B41" t="s">
        <v>110</v>
      </c>
      <c r="C41" t="str">
        <f>IF(OR(OR(M41="Very High",M41="High"),AND(OR(M41="Very High",M41="High",M41="Normal"),OR(N41="Very High",N41="High"))),"K","T")</f>
        <v>K</v>
      </c>
      <c r="D41" s="27" t="s">
        <v>111</v>
      </c>
      <c r="E41" s="27" t="s">
        <v>57</v>
      </c>
      <c r="F41" s="27" t="s">
        <v>385</v>
      </c>
      <c r="G41" s="27" t="s">
        <v>214</v>
      </c>
      <c r="H41" s="27">
        <v>23</v>
      </c>
      <c r="I41" s="27" t="s">
        <v>106</v>
      </c>
      <c r="J41" s="28" t="s">
        <v>106</v>
      </c>
      <c r="K41" s="27" t="s">
        <v>42</v>
      </c>
      <c r="L41" s="27" t="s">
        <v>40</v>
      </c>
      <c r="M41" s="27" t="s">
        <v>229</v>
      </c>
      <c r="N41" s="28" t="s">
        <v>231</v>
      </c>
      <c r="O41" s="27">
        <v>10</v>
      </c>
      <c r="P41" s="27">
        <v>4</v>
      </c>
      <c r="Q41" s="28">
        <v>3</v>
      </c>
      <c r="R41" s="27">
        <v>10</v>
      </c>
      <c r="S41" s="27">
        <v>4</v>
      </c>
      <c r="T41" s="28">
        <v>4</v>
      </c>
      <c r="U41" s="27">
        <v>10</v>
      </c>
      <c r="V41" s="27">
        <v>10</v>
      </c>
      <c r="W41" s="27" t="s">
        <v>41</v>
      </c>
      <c r="X41" s="27" t="s">
        <v>41</v>
      </c>
      <c r="Y41" s="27" t="s">
        <v>41</v>
      </c>
      <c r="Z41" s="27" t="s">
        <v>41</v>
      </c>
      <c r="AA41" s="27">
        <v>10</v>
      </c>
      <c r="AB41" s="27">
        <v>10</v>
      </c>
      <c r="AC41" s="27" t="s">
        <v>41</v>
      </c>
      <c r="AD41" s="27" t="s">
        <v>41</v>
      </c>
      <c r="AE41" s="27" t="s">
        <v>41</v>
      </c>
      <c r="AF41" s="27" t="s">
        <v>41</v>
      </c>
      <c r="AG41" s="27" t="s">
        <v>41</v>
      </c>
      <c r="AH41" s="27" t="s">
        <v>41</v>
      </c>
      <c r="AI41" s="27" t="s">
        <v>41</v>
      </c>
      <c r="AJ41" s="27" t="s">
        <v>41</v>
      </c>
      <c r="AK41" s="27" t="s">
        <v>41</v>
      </c>
      <c r="AL41" s="27" t="s">
        <v>41</v>
      </c>
      <c r="AM41" s="27" t="s">
        <v>41</v>
      </c>
      <c r="AN41" s="27" t="s">
        <v>41</v>
      </c>
      <c r="AO41" s="27" t="s">
        <v>41</v>
      </c>
      <c r="AP41" s="27" t="s">
        <v>41</v>
      </c>
      <c r="AQ41" s="27" t="s">
        <v>41</v>
      </c>
      <c r="AR41" s="28" t="s">
        <v>41</v>
      </c>
      <c r="AS41" s="27" t="s">
        <v>419</v>
      </c>
      <c r="AT41" s="27">
        <v>7</v>
      </c>
      <c r="AU41" s="82">
        <v>0.38</v>
      </c>
      <c r="AV41" s="86" t="s">
        <v>41</v>
      </c>
      <c r="AW41" s="28">
        <v>0</v>
      </c>
      <c r="AX41" s="29">
        <f>AVERAGE(O41:Q41)+0.25*MAX(0,(COUNT(U41,W41,Y41,AA41,AC41,AE41,AG41,AI41,AK41,AM41,AO41,AQ41)-3))+IF(AU41&gt;0.55,0.25,0)+IF(MAX(U41,W41,Y41,AA41,AC41,AE41,AG41,AI41,AK41,AM41,AO41,AQ41)&gt;5,0.25,0)</f>
        <v>5.916666666666667</v>
      </c>
      <c r="AY41" s="30" t="str">
        <f>IF(AX41&gt;9,"SuperStar",IF(AX41&gt;8,"Star",IF(AX41&gt;6.5,"GoodReg",IF(AX41&gt;5,"Reg",IF(AX41&gt;4,"Bench","Minors")))))</f>
        <v>Reg</v>
      </c>
      <c r="AZ41" s="30">
        <f>AVERAGE(R41:T41)+0.25*MAX(0,(COUNT(V41,X41,Z41,AB41,AD41,AF41,AH41,AJ41,AL41,AN41,AP41,AR41)-3))+IF(AU41&gt;0.55,0.25,0)+IF(MAX(V41,X41,Z41,AB41,AD41,AF41,AH41,AJ41,AL41,AN41,AP41,AR41)&gt;5,0.25,0)</f>
        <v>6.25</v>
      </c>
      <c r="BA41" s="30" t="str">
        <f>IF(AZ41&gt;9,"SuperStar",IF(AZ41&gt;8,"Star",IF(AZ41&gt;6.5,"GoodReg",IF(AZ41&gt;5,"Reg",IF(AZ41&gt;4,"Bench","Minors")))))</f>
        <v>Reg</v>
      </c>
      <c r="BB41" s="30">
        <f>MIN(AX41+(MAX(0,25-S41))^1.5,AZ41)</f>
        <v>6.25</v>
      </c>
      <c r="BC41" s="30" t="str">
        <f>IF(BB41&gt;9,"SuperStar",IF(BB41&gt;8,"Star",IF(BB41&gt;6.5,"GoodReg",IF(BB41&gt;5,"Reg",IF(BB41&gt;4,"Bench","Minors")))))</f>
        <v>Reg</v>
      </c>
      <c r="BD41" s="108">
        <f>COUNT(U41:AR41)/2</f>
        <v>2</v>
      </c>
      <c r="BE41" s="109">
        <f>COUNTIF(U41:AR41,"&gt;5")/2</f>
        <v>2</v>
      </c>
      <c r="BF41" s="27" t="str">
        <f>IF(AW41=1,"Yes","")</f>
        <v/>
      </c>
      <c r="BG41" s="27" t="str">
        <f>IF(A41="ML","There",IF(AVERAGE($R41:$T41)&gt;=6,"Likely",IF(AVERAGE($R41:$T41)&gt;=4,"Possible","Unlikely")))</f>
        <v>Likely</v>
      </c>
      <c r="BH41" t="str">
        <f>IF(AVERAGE(O41:Q41)&gt;=5.5,"ML",IF(AVERAGE(O41:Q41)&gt;=4.5,"AAA",IF(AVERAGE(O41:Q41)&gt;=4,"AA",IF(AVERAGE(O41:Q41)&gt;=3.5,"A","SS-A"))))</f>
        <v>ML</v>
      </c>
      <c r="BI41">
        <f>SUM(O41:Q41)</f>
        <v>17</v>
      </c>
      <c r="BJ41">
        <f>SUM(R41:T41)</f>
        <v>18</v>
      </c>
      <c r="BK41">
        <f>O41-R41</f>
        <v>0</v>
      </c>
      <c r="BL41">
        <f>P41-S41</f>
        <v>0</v>
      </c>
      <c r="BM41">
        <f>Q41-T41</f>
        <v>-1</v>
      </c>
      <c r="BN41">
        <f>SUM(BK41:BM41)</f>
        <v>-1</v>
      </c>
    </row>
    <row r="42" spans="1:66">
      <c r="A42" s="96" t="s">
        <v>214</v>
      </c>
      <c r="B42" t="s">
        <v>110</v>
      </c>
      <c r="C42" t="str">
        <f>IF(OR(OR(M42="Very High",M42="High"),AND(OR(M42="Very High",M42="High",M42="Normal"),OR(N42="Very High",N42="High"))),"K","T")</f>
        <v>K</v>
      </c>
      <c r="D42" s="27" t="s">
        <v>110</v>
      </c>
      <c r="E42" s="27" t="s">
        <v>320</v>
      </c>
      <c r="F42" s="27" t="s">
        <v>385</v>
      </c>
      <c r="G42" s="27" t="s">
        <v>214</v>
      </c>
      <c r="H42" s="27">
        <v>27</v>
      </c>
      <c r="I42" s="27" t="s">
        <v>107</v>
      </c>
      <c r="J42" s="28" t="s">
        <v>107</v>
      </c>
      <c r="K42" s="27" t="s">
        <v>42</v>
      </c>
      <c r="L42" s="27" t="s">
        <v>42</v>
      </c>
      <c r="M42" s="27" t="s">
        <v>229</v>
      </c>
      <c r="N42" s="28" t="s">
        <v>228</v>
      </c>
      <c r="O42" s="27">
        <v>4</v>
      </c>
      <c r="P42" s="27">
        <v>7</v>
      </c>
      <c r="Q42" s="28">
        <v>5</v>
      </c>
      <c r="R42" s="27">
        <v>4</v>
      </c>
      <c r="S42" s="27">
        <v>7</v>
      </c>
      <c r="T42" s="28">
        <v>5</v>
      </c>
      <c r="U42" s="27">
        <v>4</v>
      </c>
      <c r="V42" s="27">
        <v>4</v>
      </c>
      <c r="W42" s="27">
        <v>5</v>
      </c>
      <c r="X42" s="27">
        <v>5</v>
      </c>
      <c r="Y42" s="27">
        <v>3</v>
      </c>
      <c r="Z42" s="27">
        <v>3</v>
      </c>
      <c r="AA42" s="27" t="s">
        <v>41</v>
      </c>
      <c r="AB42" s="27" t="s">
        <v>41</v>
      </c>
      <c r="AC42" s="27" t="s">
        <v>41</v>
      </c>
      <c r="AD42" s="27" t="s">
        <v>41</v>
      </c>
      <c r="AE42" s="27" t="s">
        <v>41</v>
      </c>
      <c r="AF42" s="27" t="s">
        <v>41</v>
      </c>
      <c r="AG42" s="27">
        <v>5</v>
      </c>
      <c r="AH42" s="27">
        <v>5</v>
      </c>
      <c r="AI42" s="27" t="s">
        <v>41</v>
      </c>
      <c r="AJ42" s="27" t="s">
        <v>41</v>
      </c>
      <c r="AK42" s="27" t="s">
        <v>41</v>
      </c>
      <c r="AL42" s="27" t="s">
        <v>41</v>
      </c>
      <c r="AM42" s="27" t="s">
        <v>41</v>
      </c>
      <c r="AN42" s="27" t="s">
        <v>41</v>
      </c>
      <c r="AO42" s="27">
        <v>2</v>
      </c>
      <c r="AP42" s="27">
        <v>2</v>
      </c>
      <c r="AQ42" s="27" t="s">
        <v>41</v>
      </c>
      <c r="AR42" s="28" t="s">
        <v>41</v>
      </c>
      <c r="AS42" s="27" t="s">
        <v>2</v>
      </c>
      <c r="AT42" s="27">
        <v>2</v>
      </c>
      <c r="AU42" s="82">
        <v>0.48</v>
      </c>
      <c r="AV42" s="86" t="s">
        <v>41</v>
      </c>
      <c r="AW42" s="28">
        <v>0</v>
      </c>
      <c r="AX42" s="29">
        <f>AVERAGE(O42:Q42)+0.25*MAX(0,(COUNT(U42,W42,Y42,AA42,AC42,AE42,AG42,AI42,AK42,AM42,AO42,AQ42)-3))+IF(AU42&gt;0.55,0.25,0)+IF(MAX(U42,W42,Y42,AA42,AC42,AE42,AG42,AI42,AK42,AM42,AO42,AQ42)&gt;5,0.25,0)</f>
        <v>5.833333333333333</v>
      </c>
      <c r="AY42" s="30" t="str">
        <f>IF(AX42&gt;9,"SuperStar",IF(AX42&gt;8,"Star",IF(AX42&gt;6.5,"GoodReg",IF(AX42&gt;5,"Reg",IF(AX42&gt;4,"Bench","Minors")))))</f>
        <v>Reg</v>
      </c>
      <c r="AZ42" s="30">
        <f>AVERAGE(R42:T42)+0.25*MAX(0,(COUNT(V42,X42,Z42,AB42,AD42,AF42,AH42,AJ42,AL42,AN42,AP42,AR42)-3))+IF(AU42&gt;0.55,0.25,0)+IF(MAX(V42,X42,Z42,AB42,AD42,AF42,AH42,AJ42,AL42,AN42,AP42,AR42)&gt;5,0.25,0)</f>
        <v>5.833333333333333</v>
      </c>
      <c r="BA42" s="30" t="str">
        <f>IF(AZ42&gt;9,"SuperStar",IF(AZ42&gt;8,"Star",IF(AZ42&gt;6.5,"GoodReg",IF(AZ42&gt;5,"Reg",IF(AZ42&gt;4,"Bench","Minors")))))</f>
        <v>Reg</v>
      </c>
      <c r="BB42" s="30">
        <f>MIN(AX42+(MAX(0,25-S42))^1.5,AZ42)</f>
        <v>5.833333333333333</v>
      </c>
      <c r="BC42" s="30" t="str">
        <f>IF(BB42&gt;9,"SuperStar",IF(BB42&gt;8,"Star",IF(BB42&gt;6.5,"GoodReg",IF(BB42&gt;5,"Reg",IF(BB42&gt;4,"Bench","Minors")))))</f>
        <v>Reg</v>
      </c>
      <c r="BD42" s="108">
        <f>COUNT(U42:AR42)/2</f>
        <v>5</v>
      </c>
      <c r="BE42" s="109">
        <f>COUNTIF(U42:AR42,"&gt;5")/2</f>
        <v>0</v>
      </c>
      <c r="BF42" s="27" t="str">
        <f>IF(AW42=1,"Yes","")</f>
        <v/>
      </c>
      <c r="BG42" s="27" t="str">
        <f>IF(A42="ML","There",IF(AVERAGE($R42:$T42)&gt;=6,"Likely",IF(AVERAGE($R42:$T42)&gt;=4,"Possible","Unlikely")))</f>
        <v>Possible</v>
      </c>
      <c r="BH42" t="str">
        <f>IF(AVERAGE(O42:Q42)&gt;=5.5,"ML",IF(AVERAGE(O42:Q42)&gt;=4.5,"AAA",IF(AVERAGE(O42:Q42)&gt;=4,"AA",IF(AVERAGE(O42:Q42)&gt;=3.5,"A","SS-A"))))</f>
        <v>AAA</v>
      </c>
      <c r="BI42">
        <f>SUM(O42:Q42)</f>
        <v>16</v>
      </c>
      <c r="BJ42">
        <f>SUM(R42:T42)</f>
        <v>16</v>
      </c>
      <c r="BK42">
        <f>O42-R42</f>
        <v>0</v>
      </c>
      <c r="BL42">
        <f>P42-S42</f>
        <v>0</v>
      </c>
      <c r="BM42">
        <f>Q42-T42</f>
        <v>0</v>
      </c>
      <c r="BN42">
        <f>SUM(BK42:BM42)</f>
        <v>0</v>
      </c>
    </row>
    <row r="43" spans="1:66">
      <c r="A43" s="96" t="s">
        <v>214</v>
      </c>
      <c r="B43" t="s">
        <v>110</v>
      </c>
      <c r="C43" t="str">
        <f>IF(OR(OR(M43="Very High",M43="High"),AND(OR(M43="Very High",M43="High",M43="Normal"),OR(N43="Very High",N43="High"))),"K","T")</f>
        <v>K</v>
      </c>
      <c r="D43" s="27" t="s">
        <v>112</v>
      </c>
      <c r="E43" s="27" t="s">
        <v>508</v>
      </c>
      <c r="F43" s="27" t="s">
        <v>386</v>
      </c>
      <c r="G43" s="27" t="s">
        <v>215</v>
      </c>
      <c r="H43" s="27">
        <v>22</v>
      </c>
      <c r="I43" s="27" t="s">
        <v>107</v>
      </c>
      <c r="J43" s="28" t="s">
        <v>107</v>
      </c>
      <c r="K43" s="27" t="s">
        <v>42</v>
      </c>
      <c r="L43" s="27" t="s">
        <v>48</v>
      </c>
      <c r="M43" s="27" t="s">
        <v>229</v>
      </c>
      <c r="N43" s="28" t="s">
        <v>232</v>
      </c>
      <c r="O43" s="27">
        <v>9</v>
      </c>
      <c r="P43" s="27">
        <v>4</v>
      </c>
      <c r="Q43" s="28">
        <v>3</v>
      </c>
      <c r="R43" s="27">
        <v>10</v>
      </c>
      <c r="S43" s="27">
        <v>4</v>
      </c>
      <c r="T43" s="28">
        <v>5</v>
      </c>
      <c r="U43" s="27">
        <v>10</v>
      </c>
      <c r="V43" s="27">
        <v>10</v>
      </c>
      <c r="W43" s="27" t="s">
        <v>41</v>
      </c>
      <c r="X43" s="27" t="s">
        <v>41</v>
      </c>
      <c r="Y43" s="27">
        <v>5</v>
      </c>
      <c r="Z43" s="27">
        <v>8</v>
      </c>
      <c r="AA43" s="27" t="s">
        <v>41</v>
      </c>
      <c r="AB43" s="27" t="s">
        <v>41</v>
      </c>
      <c r="AC43" s="27" t="s">
        <v>41</v>
      </c>
      <c r="AD43" s="27" t="s">
        <v>41</v>
      </c>
      <c r="AE43" s="27" t="s">
        <v>41</v>
      </c>
      <c r="AF43" s="27" t="s">
        <v>41</v>
      </c>
      <c r="AG43" s="27" t="s">
        <v>41</v>
      </c>
      <c r="AH43" s="27" t="s">
        <v>41</v>
      </c>
      <c r="AI43" s="27" t="s">
        <v>41</v>
      </c>
      <c r="AJ43" s="27" t="s">
        <v>41</v>
      </c>
      <c r="AK43" s="27" t="s">
        <v>41</v>
      </c>
      <c r="AL43" s="27" t="s">
        <v>41</v>
      </c>
      <c r="AM43" s="27" t="s">
        <v>41</v>
      </c>
      <c r="AN43" s="27" t="s">
        <v>41</v>
      </c>
      <c r="AO43" s="27" t="s">
        <v>41</v>
      </c>
      <c r="AP43" s="27" t="s">
        <v>41</v>
      </c>
      <c r="AQ43" s="27" t="s">
        <v>41</v>
      </c>
      <c r="AR43" s="28" t="s">
        <v>41</v>
      </c>
      <c r="AS43" s="27" t="s">
        <v>419</v>
      </c>
      <c r="AT43" s="27">
        <v>2</v>
      </c>
      <c r="AU43" s="82">
        <v>0.41</v>
      </c>
      <c r="AV43" s="86" t="s">
        <v>41</v>
      </c>
      <c r="AW43" s="28">
        <v>0</v>
      </c>
      <c r="AX43" s="29">
        <f>AVERAGE(O43:Q43)+0.25*MAX(0,(COUNT(U43,W43,Y43,AA43,AC43,AE43,AG43,AI43,AK43,AM43,AO43,AQ43)-3))+IF(AU43&gt;0.55,0.25,0)+IF(MAX(U43,W43,Y43,AA43,AC43,AE43,AG43,AI43,AK43,AM43,AO43,AQ43)&gt;5,0.25,0)</f>
        <v>5.583333333333333</v>
      </c>
      <c r="AY43" s="30" t="str">
        <f>IF(AX43&gt;9,"SuperStar",IF(AX43&gt;8,"Star",IF(AX43&gt;6.5,"GoodReg",IF(AX43&gt;5,"Reg",IF(AX43&gt;4,"Bench","Minors")))))</f>
        <v>Reg</v>
      </c>
      <c r="AZ43" s="30">
        <f>AVERAGE(R43:T43)+0.25*MAX(0,(COUNT(V43,X43,Z43,AB43,AD43,AF43,AH43,AJ43,AL43,AN43,AP43,AR43)-3))+IF(AU43&gt;0.55,0.25,0)+IF(MAX(V43,X43,Z43,AB43,AD43,AF43,AH43,AJ43,AL43,AN43,AP43,AR43)&gt;5,0.25,0)</f>
        <v>6.583333333333333</v>
      </c>
      <c r="BA43" s="30" t="str">
        <f>IF(AZ43&gt;9,"SuperStar",IF(AZ43&gt;8,"Star",IF(AZ43&gt;6.5,"GoodReg",IF(AZ43&gt;5,"Reg",IF(AZ43&gt;4,"Bench","Minors")))))</f>
        <v>GoodReg</v>
      </c>
      <c r="BB43" s="30">
        <f>MIN(AX43+(MAX(0,25-S43))^1.5,AZ43)</f>
        <v>6.583333333333333</v>
      </c>
      <c r="BC43" s="30" t="str">
        <f>IF(BB43&gt;9,"SuperStar",IF(BB43&gt;8,"Star",IF(BB43&gt;6.5,"GoodReg",IF(BB43&gt;5,"Reg",IF(BB43&gt;4,"Bench","Minors")))))</f>
        <v>GoodReg</v>
      </c>
      <c r="BD43" s="108">
        <f>COUNT(U43:AR43)/2</f>
        <v>2</v>
      </c>
      <c r="BE43" s="109">
        <f>COUNTIF(U43:AR43,"&gt;5")/2</f>
        <v>1.5</v>
      </c>
      <c r="BF43" s="27" t="str">
        <f>IF(AW43=1,"Yes","")</f>
        <v/>
      </c>
      <c r="BG43" s="27" t="str">
        <f>IF(A43="ML","There",IF(AVERAGE($R43:$T43)&gt;=6,"Likely",IF(AVERAGE($R43:$T43)&gt;=4,"Possible","Unlikely")))</f>
        <v>Likely</v>
      </c>
      <c r="BH43" t="str">
        <f>IF(AVERAGE(O43:Q43)&gt;=5.5,"ML",IF(AVERAGE(O43:Q43)&gt;=4.5,"AAA",IF(AVERAGE(O43:Q43)&gt;=4,"AA",IF(AVERAGE(O43:Q43)&gt;=3.5,"A","SS-A"))))</f>
        <v>AAA</v>
      </c>
      <c r="BI43">
        <f>SUM(O43:Q43)</f>
        <v>16</v>
      </c>
      <c r="BJ43">
        <f>SUM(R43:T43)</f>
        <v>19</v>
      </c>
      <c r="BK43">
        <f>O43-R43</f>
        <v>-1</v>
      </c>
      <c r="BL43">
        <f>P43-S43</f>
        <v>0</v>
      </c>
      <c r="BM43">
        <f>Q43-T43</f>
        <v>-2</v>
      </c>
      <c r="BN43">
        <f>SUM(BK43:BM43)</f>
        <v>-3</v>
      </c>
    </row>
    <row r="44" spans="1:66">
      <c r="A44" s="96" t="s">
        <v>214</v>
      </c>
      <c r="B44" t="s">
        <v>110</v>
      </c>
      <c r="C44" t="str">
        <f>IF(OR(OR(M44="Very High",M44="High"),AND(OR(M44="Very High",M44="High",M44="Normal"),OR(N44="Very High",N44="High"))),"K","T")</f>
        <v>K</v>
      </c>
      <c r="D44" s="27" t="s">
        <v>110</v>
      </c>
      <c r="E44" s="27" t="s">
        <v>583</v>
      </c>
      <c r="F44" s="27" t="s">
        <v>385</v>
      </c>
      <c r="G44" s="27" t="s">
        <v>214</v>
      </c>
      <c r="H44" s="27">
        <v>31</v>
      </c>
      <c r="I44" s="27" t="s">
        <v>107</v>
      </c>
      <c r="J44" s="28" t="s">
        <v>106</v>
      </c>
      <c r="K44" s="27" t="s">
        <v>42</v>
      </c>
      <c r="L44" s="27" t="s">
        <v>42</v>
      </c>
      <c r="M44" s="27" t="s">
        <v>229</v>
      </c>
      <c r="N44" s="28" t="s">
        <v>232</v>
      </c>
      <c r="O44" s="27">
        <v>4</v>
      </c>
      <c r="P44" s="27">
        <v>5</v>
      </c>
      <c r="Q44" s="28">
        <v>7</v>
      </c>
      <c r="R44" s="27">
        <v>4</v>
      </c>
      <c r="S44" s="27">
        <v>5</v>
      </c>
      <c r="T44" s="28">
        <v>7</v>
      </c>
      <c r="U44" s="27">
        <v>4</v>
      </c>
      <c r="V44" s="27">
        <v>4</v>
      </c>
      <c r="W44" s="27">
        <v>4</v>
      </c>
      <c r="X44" s="27">
        <v>4</v>
      </c>
      <c r="Y44" s="27">
        <v>5</v>
      </c>
      <c r="Z44" s="27">
        <v>5</v>
      </c>
      <c r="AA44" s="27" t="s">
        <v>41</v>
      </c>
      <c r="AB44" s="27" t="s">
        <v>41</v>
      </c>
      <c r="AC44" s="27" t="s">
        <v>41</v>
      </c>
      <c r="AD44" s="27" t="s">
        <v>41</v>
      </c>
      <c r="AE44" s="27" t="s">
        <v>41</v>
      </c>
      <c r="AF44" s="27" t="s">
        <v>41</v>
      </c>
      <c r="AG44" s="27" t="s">
        <v>41</v>
      </c>
      <c r="AH44" s="27" t="s">
        <v>41</v>
      </c>
      <c r="AI44" s="27" t="s">
        <v>41</v>
      </c>
      <c r="AJ44" s="27" t="s">
        <v>41</v>
      </c>
      <c r="AK44" s="27" t="s">
        <v>41</v>
      </c>
      <c r="AL44" s="27" t="s">
        <v>41</v>
      </c>
      <c r="AM44" s="27" t="s">
        <v>41</v>
      </c>
      <c r="AN44" s="27" t="s">
        <v>41</v>
      </c>
      <c r="AO44" s="27" t="s">
        <v>41</v>
      </c>
      <c r="AP44" s="27" t="s">
        <v>41</v>
      </c>
      <c r="AQ44" s="27" t="s">
        <v>41</v>
      </c>
      <c r="AR44" s="28" t="s">
        <v>41</v>
      </c>
      <c r="AS44" s="27" t="s">
        <v>0</v>
      </c>
      <c r="AT44" s="27">
        <v>2</v>
      </c>
      <c r="AU44" s="82">
        <v>0.52</v>
      </c>
      <c r="AV44" s="86" t="s">
        <v>41</v>
      </c>
      <c r="AW44" s="28" t="s">
        <v>45</v>
      </c>
      <c r="AX44" s="29">
        <f>AVERAGE(O44:Q44)+0.25*MAX(0,(COUNT(U44,W44,Y44,AA44,AC44,AE44,AG44,AI44,AK44,AM44,AO44,AQ44)-3))+IF(AU44&gt;0.55,0.25,0)+IF(MAX(U44,W44,Y44,AA44,AC44,AE44,AG44,AI44,AK44,AM44,AO44,AQ44)&gt;5,0.25,0)</f>
        <v>5.333333333333333</v>
      </c>
      <c r="AY44" s="30" t="str">
        <f>IF(AX44&gt;9,"SuperStar",IF(AX44&gt;8,"Star",IF(AX44&gt;6.5,"GoodReg",IF(AX44&gt;5,"Reg",IF(AX44&gt;4,"Bench","Minors")))))</f>
        <v>Reg</v>
      </c>
      <c r="AZ44" s="30">
        <f>AVERAGE(R44:T44)+0.25*MAX(0,(COUNT(V44,X44,Z44,AB44,AD44,AF44,AH44,AJ44,AL44,AN44,AP44,AR44)-3))+IF(AU44&gt;0.55,0.25,0)+IF(MAX(V44,X44,Z44,AB44,AD44,AF44,AH44,AJ44,AL44,AN44,AP44,AR44)&gt;5,0.25,0)</f>
        <v>5.333333333333333</v>
      </c>
      <c r="BA44" s="30" t="str">
        <f>IF(AZ44&gt;9,"SuperStar",IF(AZ44&gt;8,"Star",IF(AZ44&gt;6.5,"GoodReg",IF(AZ44&gt;5,"Reg",IF(AZ44&gt;4,"Bench","Minors")))))</f>
        <v>Reg</v>
      </c>
      <c r="BB44" s="30">
        <f>MIN(AX44+(MAX(0,25-S44))^1.5,AZ44)</f>
        <v>5.333333333333333</v>
      </c>
      <c r="BC44" s="30" t="str">
        <f>IF(BB44&gt;9,"SuperStar",IF(BB44&gt;8,"Star",IF(BB44&gt;6.5,"GoodReg",IF(BB44&gt;5,"Reg",IF(BB44&gt;4,"Bench","Minors")))))</f>
        <v>Reg</v>
      </c>
      <c r="BD44" s="108">
        <f>COUNT(U44:AR44)/2</f>
        <v>3</v>
      </c>
      <c r="BE44" s="109">
        <f>COUNTIF(U44:AR44,"&gt;5")/2</f>
        <v>0</v>
      </c>
      <c r="BF44" s="27" t="str">
        <f>IF(AW44=1,"Yes","")</f>
        <v/>
      </c>
      <c r="BG44" s="27" t="str">
        <f>IF(A44="ML","There",IF(AVERAGE($R44:$T44)&gt;=6,"Likely",IF(AVERAGE($R44:$T44)&gt;=4,"Possible","Unlikely")))</f>
        <v>Possible</v>
      </c>
      <c r="BH44" t="str">
        <f>IF(AVERAGE(O44:Q44)&gt;=5.5,"ML",IF(AVERAGE(O44:Q44)&gt;=4.5,"AAA",IF(AVERAGE(O44:Q44)&gt;=4,"AA",IF(AVERAGE(O44:Q44)&gt;=3.5,"A","SS-A"))))</f>
        <v>AAA</v>
      </c>
      <c r="BI44">
        <f>SUM(O44:Q44)</f>
        <v>16</v>
      </c>
      <c r="BJ44">
        <f>SUM(R44:T44)</f>
        <v>16</v>
      </c>
      <c r="BK44">
        <f>O44-R44</f>
        <v>0</v>
      </c>
      <c r="BL44">
        <f>P44-S44</f>
        <v>0</v>
      </c>
      <c r="BM44">
        <f>Q44-T44</f>
        <v>0</v>
      </c>
      <c r="BN44">
        <f>SUM(BK44:BM44)</f>
        <v>0</v>
      </c>
    </row>
    <row r="45" spans="1:66">
      <c r="A45" s="96" t="s">
        <v>214</v>
      </c>
      <c r="B45" t="s">
        <v>110</v>
      </c>
      <c r="C45" t="str">
        <f>IF(OR(OR(M45="Very High",M45="High"),AND(OR(M45="Very High",M45="High",M45="Normal"),OR(N45="Very High",N45="High"))),"K","T")</f>
        <v>T</v>
      </c>
      <c r="D45" s="27" t="s">
        <v>110</v>
      </c>
      <c r="E45" s="27" t="s">
        <v>557</v>
      </c>
      <c r="F45" s="27" t="s">
        <v>385</v>
      </c>
      <c r="G45" s="27" t="s">
        <v>214</v>
      </c>
      <c r="H45" s="27">
        <v>23</v>
      </c>
      <c r="I45" s="27" t="s">
        <v>107</v>
      </c>
      <c r="J45" s="28" t="s">
        <v>107</v>
      </c>
      <c r="K45" s="27" t="s">
        <v>47</v>
      </c>
      <c r="L45" s="27" t="s">
        <v>42</v>
      </c>
      <c r="M45" s="27" t="s">
        <v>232</v>
      </c>
      <c r="N45" s="28" t="s">
        <v>228</v>
      </c>
      <c r="O45" s="27">
        <v>6</v>
      </c>
      <c r="P45" s="27">
        <v>3</v>
      </c>
      <c r="Q45" s="28">
        <v>2</v>
      </c>
      <c r="R45" s="27">
        <v>7</v>
      </c>
      <c r="S45" s="27">
        <v>3</v>
      </c>
      <c r="T45" s="28">
        <v>4</v>
      </c>
      <c r="U45" s="27">
        <v>6</v>
      </c>
      <c r="V45" s="27">
        <v>7</v>
      </c>
      <c r="W45" s="27" t="s">
        <v>41</v>
      </c>
      <c r="X45" s="27" t="s">
        <v>41</v>
      </c>
      <c r="Y45" s="27" t="s">
        <v>41</v>
      </c>
      <c r="Z45" s="27" t="s">
        <v>41</v>
      </c>
      <c r="AA45" s="27">
        <v>5</v>
      </c>
      <c r="AB45" s="27">
        <v>6</v>
      </c>
      <c r="AC45" s="27" t="s">
        <v>41</v>
      </c>
      <c r="AD45" s="27" t="s">
        <v>41</v>
      </c>
      <c r="AE45" s="27" t="s">
        <v>41</v>
      </c>
      <c r="AF45" s="27" t="s">
        <v>41</v>
      </c>
      <c r="AG45" s="27" t="s">
        <v>41</v>
      </c>
      <c r="AH45" s="27" t="s">
        <v>41</v>
      </c>
      <c r="AI45" s="27" t="s">
        <v>41</v>
      </c>
      <c r="AJ45" s="27" t="s">
        <v>41</v>
      </c>
      <c r="AK45" s="27" t="s">
        <v>41</v>
      </c>
      <c r="AL45" s="27" t="s">
        <v>41</v>
      </c>
      <c r="AM45" s="27" t="s">
        <v>41</v>
      </c>
      <c r="AN45" s="27" t="s">
        <v>41</v>
      </c>
      <c r="AO45" s="27" t="s">
        <v>41</v>
      </c>
      <c r="AP45" s="27" t="s">
        <v>41</v>
      </c>
      <c r="AQ45" s="27" t="s">
        <v>41</v>
      </c>
      <c r="AR45" s="28" t="s">
        <v>41</v>
      </c>
      <c r="AS45" s="27" t="s">
        <v>252</v>
      </c>
      <c r="AT45" s="27">
        <v>2</v>
      </c>
      <c r="AU45" s="82">
        <v>0.44</v>
      </c>
      <c r="AV45" s="86" t="s">
        <v>41</v>
      </c>
      <c r="AW45" s="28" t="s">
        <v>45</v>
      </c>
      <c r="AX45" s="29">
        <f>AVERAGE(O45:Q45)+0.25*MAX(0,(COUNT(U45,W45,Y45,AA45,AC45,AE45,AG45,AI45,AK45,AM45,AO45,AQ45)-3))+IF(AU45&gt;0.55,0.25,0)+IF(MAX(U45,W45,Y45,AA45,AC45,AE45,AG45,AI45,AK45,AM45,AO45,AQ45)&gt;5,0.25,0)</f>
        <v>3.9166666666666665</v>
      </c>
      <c r="AY45" s="30" t="str">
        <f>IF(AX45&gt;9,"SuperStar",IF(AX45&gt;8,"Star",IF(AX45&gt;6.5,"GoodReg",IF(AX45&gt;5,"Reg",IF(AX45&gt;4,"Bench","Minors")))))</f>
        <v>Minors</v>
      </c>
      <c r="AZ45" s="30">
        <f>AVERAGE(R45:T45)+0.25*MAX(0,(COUNT(V45,X45,Z45,AB45,AD45,AF45,AH45,AJ45,AL45,AN45,AP45,AR45)-3))+IF(AU45&gt;0.55,0.25,0)+IF(MAX(V45,X45,Z45,AB45,AD45,AF45,AH45,AJ45,AL45,AN45,AP45,AR45)&gt;5,0.25,0)</f>
        <v>4.916666666666667</v>
      </c>
      <c r="BA45" s="30" t="str">
        <f>IF(AZ45&gt;9,"SuperStar",IF(AZ45&gt;8,"Star",IF(AZ45&gt;6.5,"GoodReg",IF(AZ45&gt;5,"Reg",IF(AZ45&gt;4,"Bench","Minors")))))</f>
        <v>Bench</v>
      </c>
      <c r="BB45" s="30">
        <f>MIN(AX45+(MAX(0,25-S45))^1.5,AZ45)</f>
        <v>4.916666666666667</v>
      </c>
      <c r="BC45" s="30" t="str">
        <f>IF(BB45&gt;9,"SuperStar",IF(BB45&gt;8,"Star",IF(BB45&gt;6.5,"GoodReg",IF(BB45&gt;5,"Reg",IF(BB45&gt;4,"Bench","Minors")))))</f>
        <v>Bench</v>
      </c>
      <c r="BD45" s="108">
        <f>COUNT(U45:AR45)/2</f>
        <v>2</v>
      </c>
      <c r="BE45" s="109">
        <f>COUNTIF(U45:AR45,"&gt;5")/2</f>
        <v>1.5</v>
      </c>
      <c r="BF45" s="27" t="str">
        <f>IF(AW45=1,"Yes","")</f>
        <v/>
      </c>
      <c r="BG45" s="27" t="str">
        <f>IF(A45="ML","There",IF(AVERAGE($R45:$T45)&gt;=6,"Likely",IF(AVERAGE($R45:$T45)&gt;=4,"Possible","Unlikely")))</f>
        <v>Possible</v>
      </c>
      <c r="BH45" t="str">
        <f>IF(AVERAGE(O45:Q45)&gt;=5.5,"ML",IF(AVERAGE(O45:Q45)&gt;=4.5,"AAA",IF(AVERAGE(O45:Q45)&gt;=4,"AA",IF(AVERAGE(O45:Q45)&gt;=3.5,"A","SS-A"))))</f>
        <v>A</v>
      </c>
      <c r="BI45">
        <f>SUM(O45:Q45)</f>
        <v>11</v>
      </c>
      <c r="BJ45">
        <f>SUM(R45:T45)</f>
        <v>14</v>
      </c>
      <c r="BK45">
        <f>O45-R45</f>
        <v>-1</v>
      </c>
      <c r="BL45">
        <f>P45-S45</f>
        <v>0</v>
      </c>
      <c r="BM45">
        <f>Q45-T45</f>
        <v>-2</v>
      </c>
      <c r="BN45">
        <f>SUM(BK45:BM45)</f>
        <v>-3</v>
      </c>
    </row>
    <row r="46" spans="1:66">
      <c r="A46" s="96" t="s">
        <v>214</v>
      </c>
      <c r="B46" t="s">
        <v>112</v>
      </c>
      <c r="C46" t="str">
        <f>IF(OR(OR(M46="Very High",M46="High"),AND(OR(M46="Very High",M46="High",M46="Normal"),OR(N46="Very High",N46="High"))),"K","T")</f>
        <v>K</v>
      </c>
      <c r="D46" s="27" t="s">
        <v>110</v>
      </c>
      <c r="E46" s="27" t="s">
        <v>507</v>
      </c>
      <c r="F46" s="27" t="s">
        <v>385</v>
      </c>
      <c r="G46" s="27" t="s">
        <v>214</v>
      </c>
      <c r="H46" s="27">
        <v>23</v>
      </c>
      <c r="I46" s="27" t="s">
        <v>106</v>
      </c>
      <c r="J46" s="28" t="s">
        <v>106</v>
      </c>
      <c r="K46" s="27" t="s">
        <v>42</v>
      </c>
      <c r="L46" s="27" t="s">
        <v>48</v>
      </c>
      <c r="M46" s="27" t="s">
        <v>229</v>
      </c>
      <c r="N46" s="28" t="s">
        <v>230</v>
      </c>
      <c r="O46" s="27">
        <v>6</v>
      </c>
      <c r="P46" s="27">
        <v>5</v>
      </c>
      <c r="Q46" s="28">
        <v>4</v>
      </c>
      <c r="R46" s="27">
        <v>7</v>
      </c>
      <c r="S46" s="27">
        <v>6</v>
      </c>
      <c r="T46" s="28">
        <v>8</v>
      </c>
      <c r="U46" s="27">
        <v>7</v>
      </c>
      <c r="V46" s="27">
        <v>7</v>
      </c>
      <c r="W46" s="27" t="s">
        <v>41</v>
      </c>
      <c r="X46" s="27" t="s">
        <v>41</v>
      </c>
      <c r="Y46" s="27">
        <v>6</v>
      </c>
      <c r="Z46" s="27">
        <v>8</v>
      </c>
      <c r="AA46" s="27" t="s">
        <v>41</v>
      </c>
      <c r="AB46" s="27" t="s">
        <v>41</v>
      </c>
      <c r="AC46" s="27" t="s">
        <v>41</v>
      </c>
      <c r="AD46" s="27" t="s">
        <v>41</v>
      </c>
      <c r="AE46" s="27" t="s">
        <v>41</v>
      </c>
      <c r="AF46" s="27" t="s">
        <v>41</v>
      </c>
      <c r="AG46" s="27" t="s">
        <v>41</v>
      </c>
      <c r="AH46" s="27" t="s">
        <v>41</v>
      </c>
      <c r="AI46" s="27" t="s">
        <v>41</v>
      </c>
      <c r="AJ46" s="27" t="s">
        <v>41</v>
      </c>
      <c r="AK46" s="27" t="s">
        <v>41</v>
      </c>
      <c r="AL46" s="27" t="s">
        <v>41</v>
      </c>
      <c r="AM46" s="27" t="s">
        <v>41</v>
      </c>
      <c r="AN46" s="27" t="s">
        <v>41</v>
      </c>
      <c r="AO46" s="27" t="s">
        <v>41</v>
      </c>
      <c r="AP46" s="27" t="s">
        <v>41</v>
      </c>
      <c r="AQ46" s="27" t="s">
        <v>41</v>
      </c>
      <c r="AR46" s="28" t="s">
        <v>41</v>
      </c>
      <c r="AS46" s="27" t="s">
        <v>15</v>
      </c>
      <c r="AT46" s="27">
        <v>1</v>
      </c>
      <c r="AU46" s="82">
        <v>0.52</v>
      </c>
      <c r="AV46" s="86" t="s">
        <v>41</v>
      </c>
      <c r="AW46" s="28">
        <v>0</v>
      </c>
      <c r="AX46" s="29">
        <f>AVERAGE(O46:Q46)+0.25*MAX(0,(COUNT(U46,W46,Y46,AA46,AC46,AE46,AG46,AI46,AK46,AM46,AO46,AQ46)-3))+IF(AU46&gt;0.55,0.25,0)+IF(MAX(U46,W46,Y46,AA46,AC46,AE46,AG46,AI46,AK46,AM46,AO46,AQ46)&gt;5,0.25,0)</f>
        <v>5.25</v>
      </c>
      <c r="AY46" s="30" t="str">
        <f>IF(AX46&gt;9,"SuperStar",IF(AX46&gt;8,"Star",IF(AX46&gt;6.5,"GoodReg",IF(AX46&gt;5,"Reg",IF(AX46&gt;4,"Bench","Minors")))))</f>
        <v>Reg</v>
      </c>
      <c r="AZ46" s="30">
        <f>AVERAGE(R46:T46)+0.25*MAX(0,(COUNT(V46,X46,Z46,AB46,AD46,AF46,AH46,AJ46,AL46,AN46,AP46,AR46)-3))+IF(AU46&gt;0.55,0.25,0)+IF(MAX(V46,X46,Z46,AB46,AD46,AF46,AH46,AJ46,AL46,AN46,AP46,AR46)&gt;5,0.25,0)</f>
        <v>7.25</v>
      </c>
      <c r="BA46" s="30" t="str">
        <f>IF(AZ46&gt;9,"SuperStar",IF(AZ46&gt;8,"Star",IF(AZ46&gt;6.5,"GoodReg",IF(AZ46&gt;5,"Reg",IF(AZ46&gt;4,"Bench","Minors")))))</f>
        <v>GoodReg</v>
      </c>
      <c r="BB46" s="30">
        <f>MIN(AX46+(MAX(0,25-S46))^1.5,AZ46)</f>
        <v>7.25</v>
      </c>
      <c r="BC46" s="30" t="str">
        <f>IF(BB46&gt;9,"SuperStar",IF(BB46&gt;8,"Star",IF(BB46&gt;6.5,"GoodReg",IF(BB46&gt;5,"Reg",IF(BB46&gt;4,"Bench","Minors")))))</f>
        <v>GoodReg</v>
      </c>
      <c r="BD46" s="108">
        <f>COUNT(U46:AR46)/2</f>
        <v>2</v>
      </c>
      <c r="BE46" s="109">
        <f>COUNTIF(U46:AR46,"&gt;5")/2</f>
        <v>2</v>
      </c>
      <c r="BF46" s="27" t="str">
        <f>IF(AW46=1,"Yes","")</f>
        <v/>
      </c>
      <c r="BG46" s="27" t="str">
        <f>IF(A46="ML","There",IF(AVERAGE($R46:$T46)&gt;=6,"Likely",IF(AVERAGE($R46:$T46)&gt;=4,"Possible","Unlikely")))</f>
        <v>Likely</v>
      </c>
      <c r="BH46" t="str">
        <f>IF(AVERAGE(O46:Q46)&gt;=5.5,"ML",IF(AVERAGE(O46:Q46)&gt;=4.5,"AAA",IF(AVERAGE(O46:Q46)&gt;=4,"AA",IF(AVERAGE(O46:Q46)&gt;=3.5,"A","SS-A"))))</f>
        <v>AAA</v>
      </c>
      <c r="BI46">
        <f>SUM(O46:Q46)</f>
        <v>15</v>
      </c>
      <c r="BJ46">
        <f>SUM(R46:T46)</f>
        <v>21</v>
      </c>
      <c r="BK46">
        <f>O46-R46</f>
        <v>-1</v>
      </c>
      <c r="BL46">
        <f>P46-S46</f>
        <v>-1</v>
      </c>
      <c r="BM46">
        <f>Q46-T46</f>
        <v>-4</v>
      </c>
      <c r="BN46">
        <f>SUM(BK46:BM46)</f>
        <v>-6</v>
      </c>
    </row>
    <row r="47" spans="1:66">
      <c r="A47" s="96" t="s">
        <v>214</v>
      </c>
      <c r="B47" t="s">
        <v>584</v>
      </c>
      <c r="C47" t="str">
        <f>IF(OR(OR(M47="Very High",M47="High"),AND(OR(M47="Very High",M47="High",M47="Normal"),OR(N47="Very High",N47="High"))),"K","T")</f>
        <v>T</v>
      </c>
      <c r="D47" s="27" t="s">
        <v>111</v>
      </c>
      <c r="E47" s="27" t="s">
        <v>554</v>
      </c>
      <c r="F47" s="27" t="s">
        <v>385</v>
      </c>
      <c r="G47" s="27" t="s">
        <v>214</v>
      </c>
      <c r="H47" s="27">
        <v>24</v>
      </c>
      <c r="I47" s="27" t="s">
        <v>107</v>
      </c>
      <c r="J47" s="28" t="s">
        <v>107</v>
      </c>
      <c r="K47" s="27" t="s">
        <v>42</v>
      </c>
      <c r="L47" s="27" t="s">
        <v>42</v>
      </c>
      <c r="M47" s="27" t="s">
        <v>231</v>
      </c>
      <c r="N47" s="28" t="s">
        <v>228</v>
      </c>
      <c r="O47" s="27">
        <v>3</v>
      </c>
      <c r="P47" s="27">
        <v>5</v>
      </c>
      <c r="Q47" s="28">
        <v>7</v>
      </c>
      <c r="R47" s="27">
        <v>3</v>
      </c>
      <c r="S47" s="27">
        <v>5</v>
      </c>
      <c r="T47" s="28">
        <v>7</v>
      </c>
      <c r="U47" s="27">
        <v>4</v>
      </c>
      <c r="V47" s="27">
        <v>4</v>
      </c>
      <c r="W47" s="27">
        <v>2</v>
      </c>
      <c r="X47" s="27">
        <v>2</v>
      </c>
      <c r="Y47" s="27">
        <v>3</v>
      </c>
      <c r="Z47" s="27">
        <v>3</v>
      </c>
      <c r="AA47" s="27" t="s">
        <v>41</v>
      </c>
      <c r="AB47" s="27" t="s">
        <v>41</v>
      </c>
      <c r="AC47" s="27" t="s">
        <v>41</v>
      </c>
      <c r="AD47" s="27" t="s">
        <v>41</v>
      </c>
      <c r="AE47" s="27">
        <v>4</v>
      </c>
      <c r="AF47" s="27">
        <v>4</v>
      </c>
      <c r="AG47" s="27" t="s">
        <v>41</v>
      </c>
      <c r="AH47" s="27" t="s">
        <v>41</v>
      </c>
      <c r="AI47" s="27" t="s">
        <v>41</v>
      </c>
      <c r="AJ47" s="27" t="s">
        <v>41</v>
      </c>
      <c r="AK47" s="27" t="s">
        <v>41</v>
      </c>
      <c r="AL47" s="27" t="s">
        <v>41</v>
      </c>
      <c r="AM47" s="27" t="s">
        <v>41</v>
      </c>
      <c r="AN47" s="27" t="s">
        <v>41</v>
      </c>
      <c r="AO47" s="27" t="s">
        <v>41</v>
      </c>
      <c r="AP47" s="27" t="s">
        <v>41</v>
      </c>
      <c r="AQ47" s="27" t="s">
        <v>41</v>
      </c>
      <c r="AR47" s="28" t="s">
        <v>41</v>
      </c>
      <c r="AS47" s="27" t="s">
        <v>6</v>
      </c>
      <c r="AT47" s="27">
        <v>6</v>
      </c>
      <c r="AU47" s="82">
        <v>0.5</v>
      </c>
      <c r="AV47" s="86" t="s">
        <v>41</v>
      </c>
      <c r="AW47" s="28" t="s">
        <v>45</v>
      </c>
      <c r="AX47" s="29">
        <f>AVERAGE(O47:Q47)+0.25*MAX(0,(COUNT(U47,W47,Y47,AA47,AC47,AE47,AG47,AI47,AK47,AM47,AO47,AQ47)-3))+IF(AU47&gt;0.55,0.25,0)+IF(MAX(U47,W47,Y47,AA47,AC47,AE47,AG47,AI47,AK47,AM47,AO47,AQ47)&gt;5,0.25,0)</f>
        <v>5.25</v>
      </c>
      <c r="AY47" s="30" t="str">
        <f>IF(AX47&gt;9,"SuperStar",IF(AX47&gt;8,"Star",IF(AX47&gt;6.5,"GoodReg",IF(AX47&gt;5,"Reg",IF(AX47&gt;4,"Bench","Minors")))))</f>
        <v>Reg</v>
      </c>
      <c r="AZ47" s="30">
        <f>AVERAGE(R47:T47)+0.25*MAX(0,(COUNT(V47,X47,Z47,AB47,AD47,AF47,AH47,AJ47,AL47,AN47,AP47,AR47)-3))+IF(AU47&gt;0.55,0.25,0)+IF(MAX(V47,X47,Z47,AB47,AD47,AF47,AH47,AJ47,AL47,AN47,AP47,AR47)&gt;5,0.25,0)</f>
        <v>5.25</v>
      </c>
      <c r="BA47" s="30" t="str">
        <f>IF(AZ47&gt;9,"SuperStar",IF(AZ47&gt;8,"Star",IF(AZ47&gt;6.5,"GoodReg",IF(AZ47&gt;5,"Reg",IF(AZ47&gt;4,"Bench","Minors")))))</f>
        <v>Reg</v>
      </c>
      <c r="BB47" s="30">
        <f>MIN(AX47+(MAX(0,25-S47))^1.5,AZ47)</f>
        <v>5.25</v>
      </c>
      <c r="BC47" s="30" t="str">
        <f>IF(BB47&gt;9,"SuperStar",IF(BB47&gt;8,"Star",IF(BB47&gt;6.5,"GoodReg",IF(BB47&gt;5,"Reg",IF(BB47&gt;4,"Bench","Minors")))))</f>
        <v>Reg</v>
      </c>
      <c r="BD47" s="108">
        <f>COUNT(U47:AR47)/2</f>
        <v>4</v>
      </c>
      <c r="BE47" s="109">
        <f>COUNTIF(U47:AR47,"&gt;5")/2</f>
        <v>0</v>
      </c>
      <c r="BF47" s="27" t="str">
        <f>IF(AW47=1,"Yes","")</f>
        <v/>
      </c>
      <c r="BG47" s="27" t="str">
        <f>IF(A47="ML","There",IF(AVERAGE($R47:$T47)&gt;=6,"Likely",IF(AVERAGE($R47:$T47)&gt;=4,"Possible","Unlikely")))</f>
        <v>Possible</v>
      </c>
      <c r="BH47" t="str">
        <f>IF(AVERAGE(O47:Q47)&gt;=5.5,"ML",IF(AVERAGE(O47:Q47)&gt;=4.5,"AAA",IF(AVERAGE(O47:Q47)&gt;=4,"AA",IF(AVERAGE(O47:Q47)&gt;=3.5,"A","SS-A"))))</f>
        <v>AAA</v>
      </c>
      <c r="BI47">
        <f>SUM(O47:Q47)</f>
        <v>15</v>
      </c>
      <c r="BJ47">
        <f>SUM(R47:T47)</f>
        <v>15</v>
      </c>
      <c r="BK47">
        <f>O47-R47</f>
        <v>0</v>
      </c>
      <c r="BL47">
        <f>P47-S47</f>
        <v>0</v>
      </c>
      <c r="BM47">
        <f>Q47-T47</f>
        <v>0</v>
      </c>
      <c r="BN47">
        <f>SUM(BK47:BM47)</f>
        <v>0</v>
      </c>
    </row>
    <row r="48" spans="1:66">
      <c r="A48" s="96" t="s">
        <v>214</v>
      </c>
      <c r="B48" t="s">
        <v>584</v>
      </c>
      <c r="C48" t="str">
        <f>IF(OR(OR(M48="Very High",M48="High"),AND(OR(M48="Very High",M48="High",M48="Normal"),OR(N48="Very High",N48="High"))),"K","T")</f>
        <v>K</v>
      </c>
      <c r="D48" s="27" t="s">
        <v>110</v>
      </c>
      <c r="E48" s="27" t="s">
        <v>352</v>
      </c>
      <c r="F48" s="27" t="s">
        <v>385</v>
      </c>
      <c r="G48" s="27" t="s">
        <v>214</v>
      </c>
      <c r="H48" s="27">
        <v>25</v>
      </c>
      <c r="I48" s="27" t="s">
        <v>106</v>
      </c>
      <c r="J48" s="28" t="s">
        <v>106</v>
      </c>
      <c r="K48" s="27" t="s">
        <v>47</v>
      </c>
      <c r="L48" s="27" t="s">
        <v>42</v>
      </c>
      <c r="M48" s="27" t="s">
        <v>230</v>
      </c>
      <c r="N48" s="28" t="s">
        <v>228</v>
      </c>
      <c r="O48" s="27">
        <v>4</v>
      </c>
      <c r="P48" s="27">
        <v>7</v>
      </c>
      <c r="Q48" s="28">
        <v>2</v>
      </c>
      <c r="R48" s="27">
        <v>4</v>
      </c>
      <c r="S48" s="27">
        <v>7</v>
      </c>
      <c r="T48" s="28">
        <v>4</v>
      </c>
      <c r="U48" s="27">
        <v>4</v>
      </c>
      <c r="V48" s="27">
        <v>4</v>
      </c>
      <c r="W48" s="27" t="s">
        <v>41</v>
      </c>
      <c r="X48" s="27" t="s">
        <v>41</v>
      </c>
      <c r="Y48" s="27" t="s">
        <v>41</v>
      </c>
      <c r="Z48" s="27" t="s">
        <v>41</v>
      </c>
      <c r="AA48" s="27">
        <v>4</v>
      </c>
      <c r="AB48" s="27">
        <v>4</v>
      </c>
      <c r="AC48" s="27" t="s">
        <v>41</v>
      </c>
      <c r="AD48" s="27" t="s">
        <v>41</v>
      </c>
      <c r="AE48" s="27" t="s">
        <v>41</v>
      </c>
      <c r="AF48" s="27" t="s">
        <v>41</v>
      </c>
      <c r="AG48" s="27" t="s">
        <v>41</v>
      </c>
      <c r="AH48" s="27" t="s">
        <v>41</v>
      </c>
      <c r="AI48" s="27" t="s">
        <v>41</v>
      </c>
      <c r="AJ48" s="27" t="s">
        <v>41</v>
      </c>
      <c r="AK48" s="27" t="s">
        <v>41</v>
      </c>
      <c r="AL48" s="27" t="s">
        <v>41</v>
      </c>
      <c r="AM48" s="27" t="s">
        <v>41</v>
      </c>
      <c r="AN48" s="27" t="s">
        <v>41</v>
      </c>
      <c r="AO48" s="27" t="s">
        <v>41</v>
      </c>
      <c r="AP48" s="27" t="s">
        <v>41</v>
      </c>
      <c r="AQ48" s="27" t="s">
        <v>41</v>
      </c>
      <c r="AR48" s="28" t="s">
        <v>41</v>
      </c>
      <c r="AS48" s="27" t="s">
        <v>1</v>
      </c>
      <c r="AT48" s="27">
        <v>3</v>
      </c>
      <c r="AU48" s="82">
        <v>0.63</v>
      </c>
      <c r="AV48" s="86" t="s">
        <v>41</v>
      </c>
      <c r="AW48" s="28">
        <v>0</v>
      </c>
      <c r="AX48" s="29">
        <f>AVERAGE(O48:Q48)+0.25*MAX(0,(COUNT(U48,W48,Y48,AA48,AC48,AE48,AG48,AI48,AK48,AM48,AO48,AQ48)-3))+IF(AU48&gt;0.55,0.25,0)+IF(MAX(U48,W48,Y48,AA48,AC48,AE48,AG48,AI48,AK48,AM48,AO48,AQ48)&gt;5,0.25,0)</f>
        <v>4.583333333333333</v>
      </c>
      <c r="AY48" s="30" t="str">
        <f>IF(AX48&gt;9,"SuperStar",IF(AX48&gt;8,"Star",IF(AX48&gt;6.5,"GoodReg",IF(AX48&gt;5,"Reg",IF(AX48&gt;4,"Bench","Minors")))))</f>
        <v>Bench</v>
      </c>
      <c r="AZ48" s="30">
        <f>AVERAGE(R48:T48)+0.25*MAX(0,(COUNT(V48,X48,Z48,AB48,AD48,AF48,AH48,AJ48,AL48,AN48,AP48,AR48)-3))+IF(AU48&gt;0.55,0.25,0)+IF(MAX(V48,X48,Z48,AB48,AD48,AF48,AH48,AJ48,AL48,AN48,AP48,AR48)&gt;5,0.25,0)</f>
        <v>5.25</v>
      </c>
      <c r="BA48" s="30" t="str">
        <f>IF(AZ48&gt;9,"SuperStar",IF(AZ48&gt;8,"Star",IF(AZ48&gt;6.5,"GoodReg",IF(AZ48&gt;5,"Reg",IF(AZ48&gt;4,"Bench","Minors")))))</f>
        <v>Reg</v>
      </c>
      <c r="BB48" s="30">
        <f>MIN(AX48+(MAX(0,25-S48))^1.5,AZ48)</f>
        <v>5.25</v>
      </c>
      <c r="BC48" s="30" t="str">
        <f>IF(BB48&gt;9,"SuperStar",IF(BB48&gt;8,"Star",IF(BB48&gt;6.5,"GoodReg",IF(BB48&gt;5,"Reg",IF(BB48&gt;4,"Bench","Minors")))))</f>
        <v>Reg</v>
      </c>
      <c r="BD48" s="108">
        <f>COUNT(U48:AR48)/2</f>
        <v>2</v>
      </c>
      <c r="BE48" s="109">
        <f>COUNTIF(U48:AR48,"&gt;5")/2</f>
        <v>0</v>
      </c>
      <c r="BF48" s="27" t="str">
        <f>IF(AW48=1,"Yes","")</f>
        <v/>
      </c>
      <c r="BG48" s="27" t="str">
        <f>IF(A48="ML","There",IF(AVERAGE($R48:$T48)&gt;=6,"Likely",IF(AVERAGE($R48:$T48)&gt;=4,"Possible","Unlikely")))</f>
        <v>Possible</v>
      </c>
      <c r="BH48" t="str">
        <f>IF(AVERAGE(O48:Q48)&gt;=5.5,"ML",IF(AVERAGE(O48:Q48)&gt;=4.5,"AAA",IF(AVERAGE(O48:Q48)&gt;=4,"AA",IF(AVERAGE(O48:Q48)&gt;=3.5,"A","SS-A"))))</f>
        <v>AA</v>
      </c>
      <c r="BI48">
        <f>SUM(O48:Q48)</f>
        <v>13</v>
      </c>
      <c r="BJ48">
        <f>SUM(R48:T48)</f>
        <v>15</v>
      </c>
      <c r="BK48">
        <f>O48-R48</f>
        <v>0</v>
      </c>
      <c r="BL48">
        <f>P48-S48</f>
        <v>0</v>
      </c>
      <c r="BM48">
        <f>Q48-T48</f>
        <v>-2</v>
      </c>
      <c r="BN48">
        <f>SUM(BK48:BM48)</f>
        <v>-2</v>
      </c>
    </row>
    <row r="49" spans="1:66">
      <c r="A49" s="96" t="s">
        <v>214</v>
      </c>
      <c r="B49" t="s">
        <v>584</v>
      </c>
      <c r="C49" t="str">
        <f>IF(OR(OR(M49="Very High",M49="High"),AND(OR(M49="Very High",M49="High",M49="Normal"),OR(N49="Very High",N49="High"))),"K","T")</f>
        <v>T</v>
      </c>
      <c r="D49" s="27" t="s">
        <v>110</v>
      </c>
      <c r="E49" s="27" t="s">
        <v>420</v>
      </c>
      <c r="F49" s="27" t="s">
        <v>385</v>
      </c>
      <c r="G49" s="27" t="s">
        <v>214</v>
      </c>
      <c r="H49" s="27">
        <v>24</v>
      </c>
      <c r="I49" s="27" t="s">
        <v>107</v>
      </c>
      <c r="J49" s="28" t="s">
        <v>107</v>
      </c>
      <c r="K49" s="27" t="s">
        <v>47</v>
      </c>
      <c r="L49" s="27" t="s">
        <v>42</v>
      </c>
      <c r="M49" s="27" t="s">
        <v>231</v>
      </c>
      <c r="N49" s="28" t="s">
        <v>228</v>
      </c>
      <c r="O49" s="27">
        <v>5</v>
      </c>
      <c r="P49" s="27">
        <v>4</v>
      </c>
      <c r="Q49" s="28">
        <v>3</v>
      </c>
      <c r="R49" s="27">
        <v>6</v>
      </c>
      <c r="S49" s="27">
        <v>4</v>
      </c>
      <c r="T49" s="28">
        <v>4</v>
      </c>
      <c r="U49" s="27">
        <v>7</v>
      </c>
      <c r="V49" s="27">
        <v>7</v>
      </c>
      <c r="W49" s="27" t="s">
        <v>41</v>
      </c>
      <c r="X49" s="27" t="s">
        <v>41</v>
      </c>
      <c r="Y49" s="27">
        <v>3</v>
      </c>
      <c r="Z49" s="27">
        <v>3</v>
      </c>
      <c r="AA49" s="27" t="s">
        <v>41</v>
      </c>
      <c r="AB49" s="27" t="s">
        <v>41</v>
      </c>
      <c r="AC49" s="27" t="s">
        <v>41</v>
      </c>
      <c r="AD49" s="27" t="s">
        <v>41</v>
      </c>
      <c r="AE49" s="27" t="s">
        <v>41</v>
      </c>
      <c r="AF49" s="27" t="s">
        <v>41</v>
      </c>
      <c r="AG49" s="27" t="s">
        <v>41</v>
      </c>
      <c r="AH49" s="27" t="s">
        <v>41</v>
      </c>
      <c r="AI49" s="27" t="s">
        <v>41</v>
      </c>
      <c r="AJ49" s="27" t="s">
        <v>41</v>
      </c>
      <c r="AK49" s="27">
        <v>5</v>
      </c>
      <c r="AL49" s="27">
        <v>6</v>
      </c>
      <c r="AM49" s="27" t="s">
        <v>41</v>
      </c>
      <c r="AN49" s="27" t="s">
        <v>41</v>
      </c>
      <c r="AO49" s="27" t="s">
        <v>41</v>
      </c>
      <c r="AP49" s="27" t="s">
        <v>41</v>
      </c>
      <c r="AQ49" s="27" t="s">
        <v>41</v>
      </c>
      <c r="AR49" s="28" t="s">
        <v>41</v>
      </c>
      <c r="AS49" s="27" t="s">
        <v>15</v>
      </c>
      <c r="AT49" s="27">
        <v>5</v>
      </c>
      <c r="AU49" s="82">
        <v>0.46</v>
      </c>
      <c r="AV49" s="86" t="s">
        <v>41</v>
      </c>
      <c r="AW49" s="28">
        <v>0</v>
      </c>
      <c r="AX49" s="29">
        <f>AVERAGE(O49:Q49)+0.25*MAX(0,(COUNT(U49,W49,Y49,AA49,AC49,AE49,AG49,AI49,AK49,AM49,AO49,AQ49)-3))+IF(AU49&gt;0.55,0.25,0)+IF(MAX(U49,W49,Y49,AA49,AC49,AE49,AG49,AI49,AK49,AM49,AO49,AQ49)&gt;5,0.25,0)</f>
        <v>4.25</v>
      </c>
      <c r="AY49" s="30" t="str">
        <f>IF(AX49&gt;9,"SuperStar",IF(AX49&gt;8,"Star",IF(AX49&gt;6.5,"GoodReg",IF(AX49&gt;5,"Reg",IF(AX49&gt;4,"Bench","Minors")))))</f>
        <v>Bench</v>
      </c>
      <c r="AZ49" s="30">
        <f>AVERAGE(R49:T49)+0.25*MAX(0,(COUNT(V49,X49,Z49,AB49,AD49,AF49,AH49,AJ49,AL49,AN49,AP49,AR49)-3))+IF(AU49&gt;0.55,0.25,0)+IF(MAX(V49,X49,Z49,AB49,AD49,AF49,AH49,AJ49,AL49,AN49,AP49,AR49)&gt;5,0.25,0)</f>
        <v>4.916666666666667</v>
      </c>
      <c r="BA49" s="30" t="str">
        <f>IF(AZ49&gt;9,"SuperStar",IF(AZ49&gt;8,"Star",IF(AZ49&gt;6.5,"GoodReg",IF(AZ49&gt;5,"Reg",IF(AZ49&gt;4,"Bench","Minors")))))</f>
        <v>Bench</v>
      </c>
      <c r="BB49" s="30">
        <f>MIN(AX49+(MAX(0,25-S49))^1.5,AZ49)</f>
        <v>4.916666666666667</v>
      </c>
      <c r="BC49" s="30" t="str">
        <f>IF(BB49&gt;9,"SuperStar",IF(BB49&gt;8,"Star",IF(BB49&gt;6.5,"GoodReg",IF(BB49&gt;5,"Reg",IF(BB49&gt;4,"Bench","Minors")))))</f>
        <v>Bench</v>
      </c>
      <c r="BD49" s="108">
        <f>COUNT(U49:AR49)/2</f>
        <v>3</v>
      </c>
      <c r="BE49" s="109">
        <f>COUNTIF(U49:AR49,"&gt;5")/2</f>
        <v>1.5</v>
      </c>
      <c r="BF49" s="27" t="str">
        <f>IF(AW49=1,"Yes","")</f>
        <v/>
      </c>
      <c r="BG49" s="27" t="str">
        <f>IF(A49="ML","There",IF(AVERAGE($R49:$T49)&gt;=6,"Likely",IF(AVERAGE($R49:$T49)&gt;=4,"Possible","Unlikely")))</f>
        <v>Possible</v>
      </c>
      <c r="BH49" t="str">
        <f>IF(AVERAGE(O49:Q49)&gt;=5.5,"ML",IF(AVERAGE(O49:Q49)&gt;=4.5,"AAA",IF(AVERAGE(O49:Q49)&gt;=4,"AA",IF(AVERAGE(O49:Q49)&gt;=3.5,"A","SS-A"))))</f>
        <v>AA</v>
      </c>
      <c r="BI49">
        <f>SUM(O49:Q49)</f>
        <v>12</v>
      </c>
      <c r="BJ49">
        <f>SUM(R49:T49)</f>
        <v>14</v>
      </c>
      <c r="BK49">
        <f>O49-R49</f>
        <v>-1</v>
      </c>
      <c r="BL49">
        <f>P49-S49</f>
        <v>0</v>
      </c>
      <c r="BM49">
        <f>Q49-T49</f>
        <v>-1</v>
      </c>
      <c r="BN49">
        <f>SUM(BK49:BM49)</f>
        <v>-2</v>
      </c>
    </row>
    <row r="50" spans="1:66">
      <c r="A50" s="96" t="s">
        <v>215</v>
      </c>
      <c r="B50" t="s">
        <v>111</v>
      </c>
      <c r="C50" t="str">
        <f>IF(OR(OR(M50="Very High",M50="High"),AND(OR(M50="Very High",M50="High",M50="Normal"),OR(N50="Very High",N50="High"))),"K","T")</f>
        <v>T</v>
      </c>
      <c r="D50" s="27" t="s">
        <v>111</v>
      </c>
      <c r="E50" s="27" t="s">
        <v>636</v>
      </c>
      <c r="F50" s="27" t="s">
        <v>383</v>
      </c>
      <c r="G50" s="27" t="s">
        <v>327</v>
      </c>
      <c r="H50" s="27">
        <v>22</v>
      </c>
      <c r="I50" s="27" t="s">
        <v>107</v>
      </c>
      <c r="J50" s="28" t="s">
        <v>107</v>
      </c>
      <c r="K50" s="27" t="s">
        <v>42</v>
      </c>
      <c r="L50" s="27" t="s">
        <v>48</v>
      </c>
      <c r="M50" s="27" t="s">
        <v>230</v>
      </c>
      <c r="N50" s="28" t="s">
        <v>231</v>
      </c>
      <c r="O50" s="27">
        <v>7</v>
      </c>
      <c r="P50" s="27">
        <v>5</v>
      </c>
      <c r="Q50" s="28">
        <v>3</v>
      </c>
      <c r="R50" s="27">
        <v>8</v>
      </c>
      <c r="S50" s="27">
        <v>6</v>
      </c>
      <c r="T50" s="28">
        <v>5</v>
      </c>
      <c r="U50" s="27">
        <v>8</v>
      </c>
      <c r="V50" s="27">
        <v>8</v>
      </c>
      <c r="W50" s="27">
        <v>7</v>
      </c>
      <c r="X50" s="27">
        <v>7</v>
      </c>
      <c r="Y50" s="27">
        <v>5</v>
      </c>
      <c r="Z50" s="27">
        <v>7</v>
      </c>
      <c r="AA50" s="27" t="s">
        <v>41</v>
      </c>
      <c r="AB50" s="27" t="s">
        <v>41</v>
      </c>
      <c r="AC50" s="27" t="s">
        <v>41</v>
      </c>
      <c r="AD50" s="27" t="s">
        <v>41</v>
      </c>
      <c r="AE50" s="27" t="s">
        <v>41</v>
      </c>
      <c r="AF50" s="27" t="s">
        <v>41</v>
      </c>
      <c r="AG50" s="27" t="s">
        <v>41</v>
      </c>
      <c r="AH50" s="27" t="s">
        <v>41</v>
      </c>
      <c r="AI50" s="27">
        <v>7</v>
      </c>
      <c r="AJ50" s="27">
        <v>8</v>
      </c>
      <c r="AK50" s="27" t="s">
        <v>41</v>
      </c>
      <c r="AL50" s="27" t="s">
        <v>41</v>
      </c>
      <c r="AM50" s="27" t="s">
        <v>41</v>
      </c>
      <c r="AN50" s="27" t="s">
        <v>41</v>
      </c>
      <c r="AO50" s="27" t="s">
        <v>41</v>
      </c>
      <c r="AP50" s="27" t="s">
        <v>41</v>
      </c>
      <c r="AQ50" s="27" t="s">
        <v>41</v>
      </c>
      <c r="AR50" s="28" t="s">
        <v>41</v>
      </c>
      <c r="AS50" s="27" t="s">
        <v>456</v>
      </c>
      <c r="AT50" s="27">
        <v>9</v>
      </c>
      <c r="AU50" s="82">
        <v>0.56000000000000005</v>
      </c>
      <c r="AV50" s="86" t="s">
        <v>41</v>
      </c>
      <c r="AW50" s="28">
        <v>0</v>
      </c>
      <c r="AX50" s="29">
        <f>AVERAGE(O50:Q50)+0.25*MAX(0,(COUNT(U50,W50,Y50,AA50,AC50,AE50,AG50,AI50,AK50,AM50,AO50,AQ50)-3))+IF(AU50&gt;0.55,0.25,0)+IF(MAX(U50,W50,Y50,AA50,AC50,AE50,AG50,AI50,AK50,AM50,AO50,AQ50)&gt;5,0.25,0)</f>
        <v>5.75</v>
      </c>
      <c r="AY50" s="30" t="str">
        <f>IF(AX50&gt;9,"SuperStar",IF(AX50&gt;8,"Star",IF(AX50&gt;6.5,"GoodReg",IF(AX50&gt;5,"Reg",IF(AX50&gt;4,"Bench","Minors")))))</f>
        <v>Reg</v>
      </c>
      <c r="AZ50" s="30">
        <f>AVERAGE(R50:T50)+0.25*MAX(0,(COUNT(V50,X50,Z50,AB50,AD50,AF50,AH50,AJ50,AL50,AN50,AP50,AR50)-3))+IF(AU50&gt;0.55,0.25,0)+IF(MAX(V50,X50,Z50,AB50,AD50,AF50,AH50,AJ50,AL50,AN50,AP50,AR50)&gt;5,0.25,0)</f>
        <v>7.083333333333333</v>
      </c>
      <c r="BA50" s="30" t="str">
        <f>IF(AZ50&gt;9,"SuperStar",IF(AZ50&gt;8,"Star",IF(AZ50&gt;6.5,"GoodReg",IF(AZ50&gt;5,"Reg",IF(AZ50&gt;4,"Bench","Minors")))))</f>
        <v>GoodReg</v>
      </c>
      <c r="BB50" s="30">
        <f>MIN(AX50+(MAX(0,25-S50))^1.5,AZ50)</f>
        <v>7.083333333333333</v>
      </c>
      <c r="BC50" s="30" t="str">
        <f>IF(BB50&gt;9,"SuperStar",IF(BB50&gt;8,"Star",IF(BB50&gt;6.5,"GoodReg",IF(BB50&gt;5,"Reg",IF(BB50&gt;4,"Bench","Minors")))))</f>
        <v>GoodReg</v>
      </c>
      <c r="BD50" s="108">
        <f>COUNT(U50:AR50)/2</f>
        <v>4</v>
      </c>
      <c r="BE50" s="109">
        <f>COUNTIF(U50:AR50,"&gt;5")/2</f>
        <v>3.5</v>
      </c>
      <c r="BF50" s="27" t="str">
        <f>IF(AW50=1,"Yes","")</f>
        <v/>
      </c>
      <c r="BG50" s="27" t="str">
        <f>IF(A50="ML","There",IF(AVERAGE($R50:$T50)&gt;=6,"Likely",IF(AVERAGE($R50:$T50)&gt;=4,"Possible","Unlikely")))</f>
        <v>Likely</v>
      </c>
      <c r="BH50" t="str">
        <f>IF(AVERAGE(O50:Q50)&gt;=5.5,"ML",IF(AVERAGE(O50:Q50)&gt;=4.5,"AAA",IF(AVERAGE(O50:Q50)&gt;=4,"AA",IF(AVERAGE(O50:Q50)&gt;=3.5,"A","SS-A"))))</f>
        <v>AAA</v>
      </c>
      <c r="BI50">
        <f>SUM(O50:Q50)</f>
        <v>15</v>
      </c>
      <c r="BJ50">
        <f>SUM(R50:T50)</f>
        <v>19</v>
      </c>
      <c r="BK50">
        <f>O50-R50</f>
        <v>-1</v>
      </c>
      <c r="BL50">
        <f>P50-S50</f>
        <v>-1</v>
      </c>
      <c r="BM50">
        <f>Q50-T50</f>
        <v>-2</v>
      </c>
      <c r="BN50">
        <f>SUM(BK50:BM50)</f>
        <v>-4</v>
      </c>
    </row>
    <row r="51" spans="1:66">
      <c r="A51" s="96" t="s">
        <v>215</v>
      </c>
      <c r="B51" t="s">
        <v>111</v>
      </c>
      <c r="C51" t="str">
        <f>IF(OR(OR(M51="Very High",M51="High"),AND(OR(M51="Very High",M51="High",M51="Normal"),OR(N51="Very High",N51="High"))),"K","T")</f>
        <v>K</v>
      </c>
      <c r="D51" s="27" t="s">
        <v>111</v>
      </c>
      <c r="E51" s="27" t="s">
        <v>510</v>
      </c>
      <c r="F51" s="27" t="s">
        <v>383</v>
      </c>
      <c r="G51" s="27" t="s">
        <v>327</v>
      </c>
      <c r="H51" s="27">
        <v>22</v>
      </c>
      <c r="I51" s="27" t="s">
        <v>106</v>
      </c>
      <c r="J51" s="28" t="s">
        <v>106</v>
      </c>
      <c r="K51" s="27" t="s">
        <v>47</v>
      </c>
      <c r="L51" s="27" t="s">
        <v>42</v>
      </c>
      <c r="M51" s="27" t="s">
        <v>230</v>
      </c>
      <c r="N51" s="28" t="s">
        <v>229</v>
      </c>
      <c r="O51" s="27">
        <v>5</v>
      </c>
      <c r="P51" s="27">
        <v>4</v>
      </c>
      <c r="Q51" s="28">
        <v>3</v>
      </c>
      <c r="R51" s="27">
        <v>5</v>
      </c>
      <c r="S51" s="27">
        <v>4</v>
      </c>
      <c r="T51" s="28">
        <v>7</v>
      </c>
      <c r="U51" s="27">
        <v>6</v>
      </c>
      <c r="V51" s="27">
        <v>6</v>
      </c>
      <c r="W51" s="27">
        <v>6</v>
      </c>
      <c r="X51" s="27">
        <v>6</v>
      </c>
      <c r="Y51" s="27" t="s">
        <v>41</v>
      </c>
      <c r="Z51" s="27" t="s">
        <v>41</v>
      </c>
      <c r="AA51" s="27">
        <v>3</v>
      </c>
      <c r="AB51" s="27">
        <v>3</v>
      </c>
      <c r="AC51" s="27" t="s">
        <v>41</v>
      </c>
      <c r="AD51" s="27" t="s">
        <v>41</v>
      </c>
      <c r="AE51" s="27" t="s">
        <v>41</v>
      </c>
      <c r="AF51" s="27" t="s">
        <v>41</v>
      </c>
      <c r="AG51" s="27" t="s">
        <v>41</v>
      </c>
      <c r="AH51" s="27" t="s">
        <v>41</v>
      </c>
      <c r="AI51" s="27">
        <v>5</v>
      </c>
      <c r="AJ51" s="27">
        <v>6</v>
      </c>
      <c r="AK51" s="27" t="s">
        <v>41</v>
      </c>
      <c r="AL51" s="27" t="s">
        <v>41</v>
      </c>
      <c r="AM51" s="27" t="s">
        <v>41</v>
      </c>
      <c r="AN51" s="27" t="s">
        <v>41</v>
      </c>
      <c r="AO51" s="27" t="s">
        <v>41</v>
      </c>
      <c r="AP51" s="27" t="s">
        <v>41</v>
      </c>
      <c r="AQ51" s="27" t="s">
        <v>41</v>
      </c>
      <c r="AR51" s="28" t="s">
        <v>41</v>
      </c>
      <c r="AS51" s="27" t="s">
        <v>11</v>
      </c>
      <c r="AT51" s="27">
        <v>9</v>
      </c>
      <c r="AU51" s="82">
        <v>0.48</v>
      </c>
      <c r="AV51" s="86" t="s">
        <v>41</v>
      </c>
      <c r="AW51" s="28">
        <v>0</v>
      </c>
      <c r="AX51" s="29">
        <f>AVERAGE(O51:Q51)+0.25*MAX(0,(COUNT(U51,W51,Y51,AA51,AC51,AE51,AG51,AI51,AK51,AM51,AO51,AQ51)-3))+IF(AU51&gt;0.55,0.25,0)+IF(MAX(U51,W51,Y51,AA51,AC51,AE51,AG51,AI51,AK51,AM51,AO51,AQ51)&gt;5,0.25,0)</f>
        <v>4.5</v>
      </c>
      <c r="AY51" s="30" t="str">
        <f>IF(AX51&gt;9,"SuperStar",IF(AX51&gt;8,"Star",IF(AX51&gt;6.5,"GoodReg",IF(AX51&gt;5,"Reg",IF(AX51&gt;4,"Bench","Minors")))))</f>
        <v>Bench</v>
      </c>
      <c r="AZ51" s="30">
        <f>AVERAGE(R51:T51)+0.25*MAX(0,(COUNT(V51,X51,Z51,AB51,AD51,AF51,AH51,AJ51,AL51,AN51,AP51,AR51)-3))+IF(AU51&gt;0.55,0.25,0)+IF(MAX(V51,X51,Z51,AB51,AD51,AF51,AH51,AJ51,AL51,AN51,AP51,AR51)&gt;5,0.25,0)</f>
        <v>5.833333333333333</v>
      </c>
      <c r="BA51" s="30" t="str">
        <f>IF(AZ51&gt;9,"SuperStar",IF(AZ51&gt;8,"Star",IF(AZ51&gt;6.5,"GoodReg",IF(AZ51&gt;5,"Reg",IF(AZ51&gt;4,"Bench","Minors")))))</f>
        <v>Reg</v>
      </c>
      <c r="BB51" s="30">
        <f>MIN(AX51+(MAX(0,25-S51))^1.5,AZ51)</f>
        <v>5.833333333333333</v>
      </c>
      <c r="BC51" s="30" t="str">
        <f>IF(BB51&gt;9,"SuperStar",IF(BB51&gt;8,"Star",IF(BB51&gt;6.5,"GoodReg",IF(BB51&gt;5,"Reg",IF(BB51&gt;4,"Bench","Minors")))))</f>
        <v>Reg</v>
      </c>
      <c r="BD51" s="108">
        <f>COUNT(U51:AR51)/2</f>
        <v>4</v>
      </c>
      <c r="BE51" s="109">
        <f>COUNTIF(U51:AR51,"&gt;5")/2</f>
        <v>2.5</v>
      </c>
      <c r="BF51" s="27" t="str">
        <f>IF(AW51=1,"Yes","")</f>
        <v/>
      </c>
      <c r="BG51" s="27" t="str">
        <f>IF(A51="ML","There",IF(AVERAGE($R51:$T51)&gt;=6,"Likely",IF(AVERAGE($R51:$T51)&gt;=4,"Possible","Unlikely")))</f>
        <v>Possible</v>
      </c>
      <c r="BH51" t="str">
        <f>IF(AVERAGE(O51:Q51)&gt;=5.5,"ML",IF(AVERAGE(O51:Q51)&gt;=4.5,"AAA",IF(AVERAGE(O51:Q51)&gt;=4,"AA",IF(AVERAGE(O51:Q51)&gt;=3.5,"A","SS-A"))))</f>
        <v>AA</v>
      </c>
      <c r="BI51">
        <f>SUM(O51:Q51)</f>
        <v>12</v>
      </c>
      <c r="BJ51">
        <f>SUM(R51:T51)</f>
        <v>16</v>
      </c>
      <c r="BK51">
        <f>O51-R51</f>
        <v>0</v>
      </c>
      <c r="BL51">
        <f>P51-S51</f>
        <v>0</v>
      </c>
      <c r="BM51">
        <f>Q51-T51</f>
        <v>-4</v>
      </c>
      <c r="BN51">
        <f>SUM(BK51:BM51)</f>
        <v>-4</v>
      </c>
    </row>
    <row r="52" spans="1:66">
      <c r="A52" s="96" t="s">
        <v>215</v>
      </c>
      <c r="B52" t="s">
        <v>111</v>
      </c>
      <c r="C52" t="str">
        <f>IF(OR(OR(M52="Very High",M52="High"),AND(OR(M52="Very High",M52="High",M52="Normal"),OR(N52="Very High",N52="High"))),"K","T")</f>
        <v>T</v>
      </c>
      <c r="D52" s="27" t="s">
        <v>111</v>
      </c>
      <c r="E52" s="27" t="s">
        <v>242</v>
      </c>
      <c r="F52" s="27" t="s">
        <v>386</v>
      </c>
      <c r="G52" s="27" t="s">
        <v>215</v>
      </c>
      <c r="H52" s="27">
        <v>26</v>
      </c>
      <c r="I52" s="27" t="s">
        <v>107</v>
      </c>
      <c r="J52" s="28" t="s">
        <v>106</v>
      </c>
      <c r="K52" s="27" t="s">
        <v>47</v>
      </c>
      <c r="L52" s="27" t="s">
        <v>47</v>
      </c>
      <c r="M52" s="27" t="s">
        <v>230</v>
      </c>
      <c r="N52" s="28" t="s">
        <v>230</v>
      </c>
      <c r="O52" s="27">
        <v>4</v>
      </c>
      <c r="P52" s="27">
        <v>5</v>
      </c>
      <c r="Q52" s="28">
        <v>3</v>
      </c>
      <c r="R52" s="27">
        <v>5</v>
      </c>
      <c r="S52" s="27">
        <v>5</v>
      </c>
      <c r="T52" s="28">
        <v>3</v>
      </c>
      <c r="U52" s="27">
        <v>4</v>
      </c>
      <c r="V52" s="27">
        <v>5</v>
      </c>
      <c r="W52" s="27">
        <v>2</v>
      </c>
      <c r="X52" s="27">
        <v>3</v>
      </c>
      <c r="Y52" s="27" t="s">
        <v>41</v>
      </c>
      <c r="Z52" s="27" t="s">
        <v>41</v>
      </c>
      <c r="AA52" s="27">
        <v>5</v>
      </c>
      <c r="AB52" s="27">
        <v>5</v>
      </c>
      <c r="AC52" s="27" t="s">
        <v>41</v>
      </c>
      <c r="AD52" s="27" t="s">
        <v>41</v>
      </c>
      <c r="AE52" s="27">
        <v>4</v>
      </c>
      <c r="AF52" s="27">
        <v>5</v>
      </c>
      <c r="AG52" s="27">
        <v>5</v>
      </c>
      <c r="AH52" s="27">
        <v>5</v>
      </c>
      <c r="AI52" s="27" t="s">
        <v>41</v>
      </c>
      <c r="AJ52" s="27" t="s">
        <v>41</v>
      </c>
      <c r="AK52" s="27" t="s">
        <v>41</v>
      </c>
      <c r="AL52" s="27" t="s">
        <v>41</v>
      </c>
      <c r="AM52" s="27" t="s">
        <v>41</v>
      </c>
      <c r="AN52" s="27" t="s">
        <v>41</v>
      </c>
      <c r="AO52" s="27" t="s">
        <v>41</v>
      </c>
      <c r="AP52" s="27" t="s">
        <v>41</v>
      </c>
      <c r="AQ52" s="27" t="s">
        <v>41</v>
      </c>
      <c r="AR52" s="28" t="s">
        <v>41</v>
      </c>
      <c r="AS52" s="27" t="s">
        <v>6</v>
      </c>
      <c r="AT52" s="27">
        <v>6</v>
      </c>
      <c r="AU52" s="82">
        <v>0.54</v>
      </c>
      <c r="AV52" s="86" t="s">
        <v>41</v>
      </c>
      <c r="AW52" s="28">
        <v>0</v>
      </c>
      <c r="AX52" s="29">
        <f>AVERAGE(O52:Q52)+0.25*MAX(0,(COUNT(U52,W52,Y52,AA52,AC52,AE52,AG52,AI52,AK52,AM52,AO52,AQ52)-3))+IF(AU52&gt;0.55,0.25,0)+IF(MAX(U52,W52,Y52,AA52,AC52,AE52,AG52,AI52,AK52,AM52,AO52,AQ52)&gt;5,0.25,0)</f>
        <v>4.5</v>
      </c>
      <c r="AY52" s="30" t="str">
        <f>IF(AX52&gt;9,"SuperStar",IF(AX52&gt;8,"Star",IF(AX52&gt;6.5,"GoodReg",IF(AX52&gt;5,"Reg",IF(AX52&gt;4,"Bench","Minors")))))</f>
        <v>Bench</v>
      </c>
      <c r="AZ52" s="30">
        <f>AVERAGE(R52:T52)+0.25*MAX(0,(COUNT(V52,X52,Z52,AB52,AD52,AF52,AH52,AJ52,AL52,AN52,AP52,AR52)-3))+IF(AU52&gt;0.55,0.25,0)+IF(MAX(V52,X52,Z52,AB52,AD52,AF52,AH52,AJ52,AL52,AN52,AP52,AR52)&gt;5,0.25,0)</f>
        <v>4.833333333333333</v>
      </c>
      <c r="BA52" s="30" t="str">
        <f>IF(AZ52&gt;9,"SuperStar",IF(AZ52&gt;8,"Star",IF(AZ52&gt;6.5,"GoodReg",IF(AZ52&gt;5,"Reg",IF(AZ52&gt;4,"Bench","Minors")))))</f>
        <v>Bench</v>
      </c>
      <c r="BB52" s="30">
        <f>MIN(AX52+(MAX(0,25-S52))^1.5,AZ52)</f>
        <v>4.833333333333333</v>
      </c>
      <c r="BC52" s="30" t="str">
        <f>IF(BB52&gt;9,"SuperStar",IF(BB52&gt;8,"Star",IF(BB52&gt;6.5,"GoodReg",IF(BB52&gt;5,"Reg",IF(BB52&gt;4,"Bench","Minors")))))</f>
        <v>Bench</v>
      </c>
      <c r="BD52" s="108">
        <f>COUNT(U52:AR52)/2</f>
        <v>5</v>
      </c>
      <c r="BE52" s="109">
        <f>COUNTIF(U52:AR52,"&gt;5")/2</f>
        <v>0</v>
      </c>
      <c r="BF52" s="27" t="str">
        <f>IF(AW52=1,"Yes","")</f>
        <v/>
      </c>
      <c r="BG52" s="27" t="str">
        <f>IF(A52="ML","There",IF(AVERAGE($R52:$T52)&gt;=6,"Likely",IF(AVERAGE($R52:$T52)&gt;=4,"Possible","Unlikely")))</f>
        <v>Possible</v>
      </c>
      <c r="BH52" t="str">
        <f>IF(AVERAGE(O52:Q52)&gt;=5.5,"ML",IF(AVERAGE(O52:Q52)&gt;=4.5,"AAA",IF(AVERAGE(O52:Q52)&gt;=4,"AA",IF(AVERAGE(O52:Q52)&gt;=3.5,"A","SS-A"))))</f>
        <v>AA</v>
      </c>
      <c r="BI52">
        <f>SUM(O52:Q52)</f>
        <v>12</v>
      </c>
      <c r="BJ52">
        <f>SUM(R52:T52)</f>
        <v>13</v>
      </c>
      <c r="BK52">
        <f>O52-R52</f>
        <v>-1</v>
      </c>
      <c r="BL52">
        <f>P52-S52</f>
        <v>0</v>
      </c>
      <c r="BM52">
        <f>Q52-T52</f>
        <v>0</v>
      </c>
      <c r="BN52">
        <f>SUM(BK52:BM52)</f>
        <v>-1</v>
      </c>
    </row>
    <row r="53" spans="1:66">
      <c r="A53" s="96" t="s">
        <v>215</v>
      </c>
      <c r="B53" t="s">
        <v>111</v>
      </c>
      <c r="C53" t="str">
        <f>IF(OR(OR(M53="Very High",M53="High"),AND(OR(M53="Very High",M53="High",M53="Normal"),OR(N53="Very High",N53="High"))),"K","T")</f>
        <v>T</v>
      </c>
      <c r="D53" s="27" t="s">
        <v>110</v>
      </c>
      <c r="E53" s="27" t="s">
        <v>349</v>
      </c>
      <c r="F53" s="27" t="s">
        <v>386</v>
      </c>
      <c r="G53" s="27" t="s">
        <v>215</v>
      </c>
      <c r="H53" s="27">
        <v>25</v>
      </c>
      <c r="I53" s="27" t="s">
        <v>107</v>
      </c>
      <c r="J53" s="28" t="s">
        <v>107</v>
      </c>
      <c r="K53" s="27" t="s">
        <v>47</v>
      </c>
      <c r="L53" s="27" t="s">
        <v>42</v>
      </c>
      <c r="M53" s="27" t="s">
        <v>231</v>
      </c>
      <c r="N53" s="28" t="s">
        <v>228</v>
      </c>
      <c r="O53" s="27">
        <v>4</v>
      </c>
      <c r="P53" s="27">
        <v>6</v>
      </c>
      <c r="Q53" s="28">
        <v>3</v>
      </c>
      <c r="R53" s="27">
        <v>5</v>
      </c>
      <c r="S53" s="27">
        <v>6</v>
      </c>
      <c r="T53" s="28">
        <v>5</v>
      </c>
      <c r="U53" s="27">
        <v>5</v>
      </c>
      <c r="V53" s="27">
        <v>5</v>
      </c>
      <c r="W53" s="27">
        <v>4</v>
      </c>
      <c r="X53" s="27">
        <v>4</v>
      </c>
      <c r="Y53" s="27">
        <v>5</v>
      </c>
      <c r="Z53" s="27">
        <v>5</v>
      </c>
      <c r="AA53" s="27" t="s">
        <v>41</v>
      </c>
      <c r="AB53" s="27" t="s">
        <v>41</v>
      </c>
      <c r="AC53" s="27" t="s">
        <v>41</v>
      </c>
      <c r="AD53" s="27" t="s">
        <v>41</v>
      </c>
      <c r="AE53" s="27" t="s">
        <v>41</v>
      </c>
      <c r="AF53" s="27" t="s">
        <v>41</v>
      </c>
      <c r="AG53" s="27" t="s">
        <v>41</v>
      </c>
      <c r="AH53" s="27" t="s">
        <v>41</v>
      </c>
      <c r="AI53" s="27" t="s">
        <v>41</v>
      </c>
      <c r="AJ53" s="27" t="s">
        <v>41</v>
      </c>
      <c r="AK53" s="27" t="s">
        <v>41</v>
      </c>
      <c r="AL53" s="27" t="s">
        <v>41</v>
      </c>
      <c r="AM53" s="27" t="s">
        <v>41</v>
      </c>
      <c r="AN53" s="27" t="s">
        <v>41</v>
      </c>
      <c r="AO53" s="27" t="s">
        <v>41</v>
      </c>
      <c r="AP53" s="27" t="s">
        <v>41</v>
      </c>
      <c r="AQ53" s="27" t="s">
        <v>41</v>
      </c>
      <c r="AR53" s="28" t="s">
        <v>41</v>
      </c>
      <c r="AS53" s="27" t="s">
        <v>1</v>
      </c>
      <c r="AT53" s="27">
        <v>4</v>
      </c>
      <c r="AU53" s="82">
        <v>0.51</v>
      </c>
      <c r="AV53" s="86" t="s">
        <v>41</v>
      </c>
      <c r="AW53" s="28">
        <v>0</v>
      </c>
      <c r="AX53" s="29">
        <f>AVERAGE(O53:Q53)+0.25*MAX(0,(COUNT(U53,W53,Y53,AA53,AC53,AE53,AG53,AI53,AK53,AM53,AO53,AQ53)-3))+IF(AU53&gt;0.55,0.25,0)+IF(MAX(U53,W53,Y53,AA53,AC53,AE53,AG53,AI53,AK53,AM53,AO53,AQ53)&gt;5,0.25,0)</f>
        <v>4.333333333333333</v>
      </c>
      <c r="AY53" s="30" t="str">
        <f>IF(AX53&gt;9,"SuperStar",IF(AX53&gt;8,"Star",IF(AX53&gt;6.5,"GoodReg",IF(AX53&gt;5,"Reg",IF(AX53&gt;4,"Bench","Minors")))))</f>
        <v>Bench</v>
      </c>
      <c r="AZ53" s="30">
        <f>AVERAGE(R53:T53)+0.25*MAX(0,(COUNT(V53,X53,Z53,AB53,AD53,AF53,AH53,AJ53,AL53,AN53,AP53,AR53)-3))+IF(AU53&gt;0.55,0.25,0)+IF(MAX(V53,X53,Z53,AB53,AD53,AF53,AH53,AJ53,AL53,AN53,AP53,AR53)&gt;5,0.25,0)</f>
        <v>5.333333333333333</v>
      </c>
      <c r="BA53" s="30" t="str">
        <f>IF(AZ53&gt;9,"SuperStar",IF(AZ53&gt;8,"Star",IF(AZ53&gt;6.5,"GoodReg",IF(AZ53&gt;5,"Reg",IF(AZ53&gt;4,"Bench","Minors")))))</f>
        <v>Reg</v>
      </c>
      <c r="BB53" s="30">
        <f>MIN(AX53+(MAX(0,25-S53))^1.5,AZ53)</f>
        <v>5.333333333333333</v>
      </c>
      <c r="BC53" s="30" t="str">
        <f>IF(BB53&gt;9,"SuperStar",IF(BB53&gt;8,"Star",IF(BB53&gt;6.5,"GoodReg",IF(BB53&gt;5,"Reg",IF(BB53&gt;4,"Bench","Minors")))))</f>
        <v>Reg</v>
      </c>
      <c r="BD53" s="108">
        <f>COUNT(U53:AR53)/2</f>
        <v>3</v>
      </c>
      <c r="BE53" s="109">
        <f>COUNTIF(U53:AR53,"&gt;5")/2</f>
        <v>0</v>
      </c>
      <c r="BF53" s="27" t="str">
        <f>IF(AW53=1,"Yes","")</f>
        <v/>
      </c>
      <c r="BG53" s="27" t="str">
        <f>IF(A53="ML","There",IF(AVERAGE($R53:$T53)&gt;=6,"Likely",IF(AVERAGE($R53:$T53)&gt;=4,"Possible","Unlikely")))</f>
        <v>Possible</v>
      </c>
      <c r="BH53" t="str">
        <f>IF(AVERAGE(O53:Q53)&gt;=5.5,"ML",IF(AVERAGE(O53:Q53)&gt;=4.5,"AAA",IF(AVERAGE(O53:Q53)&gt;=4,"AA",IF(AVERAGE(O53:Q53)&gt;=3.5,"A","SS-A"))))</f>
        <v>AA</v>
      </c>
      <c r="BI53">
        <f>SUM(O53:Q53)</f>
        <v>13</v>
      </c>
      <c r="BJ53">
        <f>SUM(R53:T53)</f>
        <v>16</v>
      </c>
      <c r="BK53">
        <f>O53-R53</f>
        <v>-1</v>
      </c>
      <c r="BL53">
        <f>P53-S53</f>
        <v>0</v>
      </c>
      <c r="BM53">
        <f>Q53-T53</f>
        <v>-2</v>
      </c>
      <c r="BN53">
        <f>SUM(BK53:BM53)</f>
        <v>-3</v>
      </c>
    </row>
    <row r="54" spans="1:66">
      <c r="A54" s="96" t="s">
        <v>215</v>
      </c>
      <c r="B54" t="s">
        <v>111</v>
      </c>
      <c r="C54" t="str">
        <f>IF(OR(OR(M54="Very High",M54="High"),AND(OR(M54="Very High",M54="High",M54="Normal"),OR(N54="Very High",N54="High"))),"K","T")</f>
        <v>K</v>
      </c>
      <c r="D54" s="27" t="s">
        <v>110</v>
      </c>
      <c r="E54" s="27" t="s">
        <v>351</v>
      </c>
      <c r="F54" s="27" t="s">
        <v>386</v>
      </c>
      <c r="G54" s="27" t="s">
        <v>215</v>
      </c>
      <c r="H54" s="27">
        <v>22</v>
      </c>
      <c r="I54" s="27" t="s">
        <v>107</v>
      </c>
      <c r="J54" s="28" t="s">
        <v>106</v>
      </c>
      <c r="K54" s="27" t="s">
        <v>47</v>
      </c>
      <c r="L54" s="27" t="s">
        <v>42</v>
      </c>
      <c r="M54" s="27" t="s">
        <v>229</v>
      </c>
      <c r="N54" s="28" t="s">
        <v>229</v>
      </c>
      <c r="O54" s="27">
        <v>4</v>
      </c>
      <c r="P54" s="27">
        <v>5</v>
      </c>
      <c r="Q54" s="28">
        <v>4</v>
      </c>
      <c r="R54" s="27">
        <v>4</v>
      </c>
      <c r="S54" s="27">
        <v>5</v>
      </c>
      <c r="T54" s="28">
        <v>7</v>
      </c>
      <c r="U54" s="27">
        <v>5</v>
      </c>
      <c r="V54" s="27">
        <v>5</v>
      </c>
      <c r="W54" s="27">
        <v>4</v>
      </c>
      <c r="X54" s="27">
        <v>4</v>
      </c>
      <c r="Y54" s="27">
        <v>4</v>
      </c>
      <c r="Z54" s="27">
        <v>5</v>
      </c>
      <c r="AA54" s="27" t="s">
        <v>41</v>
      </c>
      <c r="AB54" s="27" t="s">
        <v>41</v>
      </c>
      <c r="AC54" s="27" t="s">
        <v>41</v>
      </c>
      <c r="AD54" s="27" t="s">
        <v>41</v>
      </c>
      <c r="AE54" s="27" t="s">
        <v>41</v>
      </c>
      <c r="AF54" s="27" t="s">
        <v>41</v>
      </c>
      <c r="AG54" s="27" t="s">
        <v>41</v>
      </c>
      <c r="AH54" s="27" t="s">
        <v>41</v>
      </c>
      <c r="AI54" s="27" t="s">
        <v>41</v>
      </c>
      <c r="AJ54" s="27" t="s">
        <v>41</v>
      </c>
      <c r="AK54" s="27" t="s">
        <v>41</v>
      </c>
      <c r="AL54" s="27" t="s">
        <v>41</v>
      </c>
      <c r="AM54" s="27" t="s">
        <v>41</v>
      </c>
      <c r="AN54" s="27" t="s">
        <v>41</v>
      </c>
      <c r="AO54" s="27" t="s">
        <v>41</v>
      </c>
      <c r="AP54" s="27" t="s">
        <v>41</v>
      </c>
      <c r="AQ54" s="27" t="s">
        <v>41</v>
      </c>
      <c r="AR54" s="28" t="s">
        <v>41</v>
      </c>
      <c r="AS54" s="27" t="s">
        <v>6</v>
      </c>
      <c r="AT54" s="27">
        <v>4</v>
      </c>
      <c r="AU54" s="82">
        <v>0.53</v>
      </c>
      <c r="AV54" s="86" t="s">
        <v>41</v>
      </c>
      <c r="AW54" s="28">
        <v>0</v>
      </c>
      <c r="AX54" s="29">
        <f>AVERAGE(O54:Q54)+0.25*MAX(0,(COUNT(U54,W54,Y54,AA54,AC54,AE54,AG54,AI54,AK54,AM54,AO54,AQ54)-3))+IF(AU54&gt;0.55,0.25,0)+IF(MAX(U54,W54,Y54,AA54,AC54,AE54,AG54,AI54,AK54,AM54,AO54,AQ54)&gt;5,0.25,0)</f>
        <v>4.333333333333333</v>
      </c>
      <c r="AY54" s="30" t="str">
        <f>IF(AX54&gt;9,"SuperStar",IF(AX54&gt;8,"Star",IF(AX54&gt;6.5,"GoodReg",IF(AX54&gt;5,"Reg",IF(AX54&gt;4,"Bench","Minors")))))</f>
        <v>Bench</v>
      </c>
      <c r="AZ54" s="30">
        <f>AVERAGE(R54:T54)+0.25*MAX(0,(COUNT(V54,X54,Z54,AB54,AD54,AF54,AH54,AJ54,AL54,AN54,AP54,AR54)-3))+IF(AU54&gt;0.55,0.25,0)+IF(MAX(V54,X54,Z54,AB54,AD54,AF54,AH54,AJ54,AL54,AN54,AP54,AR54)&gt;5,0.25,0)</f>
        <v>5.333333333333333</v>
      </c>
      <c r="BA54" s="30" t="str">
        <f>IF(AZ54&gt;9,"SuperStar",IF(AZ54&gt;8,"Star",IF(AZ54&gt;6.5,"GoodReg",IF(AZ54&gt;5,"Reg",IF(AZ54&gt;4,"Bench","Minors")))))</f>
        <v>Reg</v>
      </c>
      <c r="BB54" s="30">
        <f>MIN(AX54+(MAX(0,25-S54))^1.5,AZ54)</f>
        <v>5.333333333333333</v>
      </c>
      <c r="BC54" s="30" t="str">
        <f>IF(BB54&gt;9,"SuperStar",IF(BB54&gt;8,"Star",IF(BB54&gt;6.5,"GoodReg",IF(BB54&gt;5,"Reg",IF(BB54&gt;4,"Bench","Minors")))))</f>
        <v>Reg</v>
      </c>
      <c r="BD54" s="108">
        <f>COUNT(U54:AR54)/2</f>
        <v>3</v>
      </c>
      <c r="BE54" s="109">
        <f>COUNTIF(U54:AR54,"&gt;5")/2</f>
        <v>0</v>
      </c>
      <c r="BF54" s="27" t="str">
        <f>IF(AW54=1,"Yes","")</f>
        <v/>
      </c>
      <c r="BG54" s="27" t="str">
        <f>IF(A54="ML","There",IF(AVERAGE($R54:$T54)&gt;=6,"Likely",IF(AVERAGE($R54:$T54)&gt;=4,"Possible","Unlikely")))</f>
        <v>Possible</v>
      </c>
      <c r="BH54" t="str">
        <f>IF(AVERAGE(O54:Q54)&gt;=5.5,"ML",IF(AVERAGE(O54:Q54)&gt;=4.5,"AAA",IF(AVERAGE(O54:Q54)&gt;=4,"AA",IF(AVERAGE(O54:Q54)&gt;=3.5,"A","SS-A"))))</f>
        <v>AA</v>
      </c>
      <c r="BI54">
        <f>SUM(O54:Q54)</f>
        <v>13</v>
      </c>
      <c r="BJ54">
        <f>SUM(R54:T54)</f>
        <v>16</v>
      </c>
      <c r="BK54">
        <f>O54-R54</f>
        <v>0</v>
      </c>
      <c r="BL54">
        <f>P54-S54</f>
        <v>0</v>
      </c>
      <c r="BM54">
        <f>Q54-T54</f>
        <v>-3</v>
      </c>
      <c r="BN54">
        <f>SUM(BK54:BM54)</f>
        <v>-3</v>
      </c>
    </row>
    <row r="55" spans="1:66">
      <c r="A55" s="96" t="s">
        <v>215</v>
      </c>
      <c r="B55" t="s">
        <v>110</v>
      </c>
      <c r="C55" t="str">
        <f>IF(OR(OR(M55="Very High",M55="High"),AND(OR(M55="Very High",M55="High",M55="Normal"),OR(N55="Very High",N55="High"))),"K","T")</f>
        <v>K</v>
      </c>
      <c r="D55" s="27" t="s">
        <v>110</v>
      </c>
      <c r="E55" s="27" t="s">
        <v>573</v>
      </c>
      <c r="F55" s="27" t="s">
        <v>386</v>
      </c>
      <c r="G55" s="27" t="s">
        <v>215</v>
      </c>
      <c r="H55" s="27">
        <v>35</v>
      </c>
      <c r="I55" s="27" t="s">
        <v>107</v>
      </c>
      <c r="J55" s="28" t="s">
        <v>106</v>
      </c>
      <c r="K55" s="27" t="s">
        <v>42</v>
      </c>
      <c r="L55" s="27" t="s">
        <v>42</v>
      </c>
      <c r="M55" s="27" t="s">
        <v>229</v>
      </c>
      <c r="N55" s="28" t="s">
        <v>229</v>
      </c>
      <c r="O55" s="27">
        <v>4</v>
      </c>
      <c r="P55" s="27">
        <v>5</v>
      </c>
      <c r="Q55" s="28">
        <v>7</v>
      </c>
      <c r="R55" s="27">
        <v>4</v>
      </c>
      <c r="S55" s="27">
        <v>6</v>
      </c>
      <c r="T55" s="28">
        <v>7</v>
      </c>
      <c r="U55" s="27">
        <v>4</v>
      </c>
      <c r="V55" s="27">
        <v>4</v>
      </c>
      <c r="W55" s="27">
        <v>3</v>
      </c>
      <c r="X55" s="27">
        <v>3</v>
      </c>
      <c r="Y55" s="27" t="s">
        <v>41</v>
      </c>
      <c r="Z55" s="27" t="s">
        <v>41</v>
      </c>
      <c r="AA55" s="27">
        <v>3</v>
      </c>
      <c r="AB55" s="27">
        <v>4</v>
      </c>
      <c r="AC55" s="27" t="s">
        <v>41</v>
      </c>
      <c r="AD55" s="27" t="s">
        <v>41</v>
      </c>
      <c r="AE55" s="27" t="s">
        <v>41</v>
      </c>
      <c r="AF55" s="27" t="s">
        <v>41</v>
      </c>
      <c r="AG55" s="27" t="s">
        <v>41</v>
      </c>
      <c r="AH55" s="27" t="s">
        <v>41</v>
      </c>
      <c r="AI55" s="27" t="s">
        <v>41</v>
      </c>
      <c r="AJ55" s="27" t="s">
        <v>41</v>
      </c>
      <c r="AK55" s="27" t="s">
        <v>41</v>
      </c>
      <c r="AL55" s="27" t="s">
        <v>41</v>
      </c>
      <c r="AM55" s="27" t="s">
        <v>41</v>
      </c>
      <c r="AN55" s="27" t="s">
        <v>41</v>
      </c>
      <c r="AO55" s="27" t="s">
        <v>41</v>
      </c>
      <c r="AP55" s="27" t="s">
        <v>41</v>
      </c>
      <c r="AQ55" s="27" t="s">
        <v>41</v>
      </c>
      <c r="AR55" s="28" t="s">
        <v>41</v>
      </c>
      <c r="AS55" s="27" t="s">
        <v>574</v>
      </c>
      <c r="AT55" s="27">
        <v>5</v>
      </c>
      <c r="AU55" s="82">
        <v>0.44</v>
      </c>
      <c r="AV55" s="86" t="s">
        <v>41</v>
      </c>
      <c r="AW55" s="28">
        <v>1</v>
      </c>
      <c r="AX55" s="29">
        <f>AVERAGE(O55:Q55)+0.25*MAX(0,(COUNT(U55,W55,Y55,AA55,AC55,AE55,AG55,AI55,AK55,AM55,AO55,AQ55)-3))+IF(AU55&gt;0.55,0.25,0)+IF(MAX(U55,W55,Y55,AA55,AC55,AE55,AG55,AI55,AK55,AM55,AO55,AQ55)&gt;5,0.25,0)</f>
        <v>5.333333333333333</v>
      </c>
      <c r="AY55" s="30" t="str">
        <f>IF(AX55&gt;9,"SuperStar",IF(AX55&gt;8,"Star",IF(AX55&gt;6.5,"GoodReg",IF(AX55&gt;5,"Reg",IF(AX55&gt;4,"Bench","Minors")))))</f>
        <v>Reg</v>
      </c>
      <c r="AZ55" s="30">
        <f>AVERAGE(R55:T55)+0.25*MAX(0,(COUNT(V55,X55,Z55,AB55,AD55,AF55,AH55,AJ55,AL55,AN55,AP55,AR55)-3))+IF(AU55&gt;0.55,0.25,0)+IF(MAX(V55,X55,Z55,AB55,AD55,AF55,AH55,AJ55,AL55,AN55,AP55,AR55)&gt;5,0.25,0)</f>
        <v>5.666666666666667</v>
      </c>
      <c r="BA55" s="30" t="str">
        <f>IF(AZ55&gt;9,"SuperStar",IF(AZ55&gt;8,"Star",IF(AZ55&gt;6.5,"GoodReg",IF(AZ55&gt;5,"Reg",IF(AZ55&gt;4,"Bench","Minors")))))</f>
        <v>Reg</v>
      </c>
      <c r="BB55" s="30">
        <f>MIN(AX55+(MAX(0,25-S55))^1.5,AZ55)</f>
        <v>5.666666666666667</v>
      </c>
      <c r="BC55" s="30" t="str">
        <f>IF(BB55&gt;9,"SuperStar",IF(BB55&gt;8,"Star",IF(BB55&gt;6.5,"GoodReg",IF(BB55&gt;5,"Reg",IF(BB55&gt;4,"Bench","Minors")))))</f>
        <v>Reg</v>
      </c>
      <c r="BD55" s="108">
        <f>COUNT(U55:AR55)/2</f>
        <v>3</v>
      </c>
      <c r="BE55" s="109">
        <f>COUNTIF(U55:AR55,"&gt;5")/2</f>
        <v>0</v>
      </c>
      <c r="BF55" s="27" t="str">
        <f>IF(AW55=1,"Yes","")</f>
        <v>Yes</v>
      </c>
      <c r="BG55" s="27" t="str">
        <f>IF(A55="ML","There",IF(AVERAGE($R55:$T55)&gt;=6,"Likely",IF(AVERAGE($R55:$T55)&gt;=4,"Possible","Unlikely")))</f>
        <v>Possible</v>
      </c>
      <c r="BH55" t="str">
        <f>IF(AVERAGE(O55:Q55)&gt;=5.5,"ML",IF(AVERAGE(O55:Q55)&gt;=4.5,"AAA",IF(AVERAGE(O55:Q55)&gt;=4,"AA",IF(AVERAGE(O55:Q55)&gt;=3.5,"A","SS-A"))))</f>
        <v>AAA</v>
      </c>
      <c r="BI55">
        <f>SUM(O55:Q55)</f>
        <v>16</v>
      </c>
      <c r="BJ55">
        <f>SUM(R55:T55)</f>
        <v>17</v>
      </c>
      <c r="BK55">
        <f>O55-R55</f>
        <v>0</v>
      </c>
      <c r="BL55">
        <f>P55-S55</f>
        <v>-1</v>
      </c>
      <c r="BM55">
        <f>Q55-T55</f>
        <v>0</v>
      </c>
      <c r="BN55">
        <f>SUM(BK55:BM55)</f>
        <v>-1</v>
      </c>
    </row>
    <row r="56" spans="1:66">
      <c r="A56" s="96" t="s">
        <v>215</v>
      </c>
      <c r="B56" t="s">
        <v>110</v>
      </c>
      <c r="C56" s="27" t="str">
        <f>IF(OR(OR(M56="Very High",M56="High"),AND(OR(M56="Very High",M56="High",M56="Normal"),OR(N56="Very High",N56="High"))),"K","T")</f>
        <v>K</v>
      </c>
      <c r="D56" s="27" t="s">
        <v>110</v>
      </c>
      <c r="E56" s="27" t="s">
        <v>458</v>
      </c>
      <c r="F56" s="27" t="s">
        <v>386</v>
      </c>
      <c r="G56" s="27" t="s">
        <v>215</v>
      </c>
      <c r="H56" s="27">
        <v>23</v>
      </c>
      <c r="I56" s="27" t="s">
        <v>107</v>
      </c>
      <c r="J56" s="28" t="s">
        <v>107</v>
      </c>
      <c r="K56" s="27" t="s">
        <v>47</v>
      </c>
      <c r="L56" s="27" t="s">
        <v>42</v>
      </c>
      <c r="M56" s="27" t="s">
        <v>228</v>
      </c>
      <c r="N56" s="28" t="s">
        <v>230</v>
      </c>
      <c r="O56" s="27">
        <v>5</v>
      </c>
      <c r="P56" s="27">
        <v>7</v>
      </c>
      <c r="Q56" s="28">
        <v>2</v>
      </c>
      <c r="R56" s="27">
        <v>5</v>
      </c>
      <c r="S56" s="27">
        <v>7</v>
      </c>
      <c r="T56" s="28">
        <v>4</v>
      </c>
      <c r="U56" s="27">
        <v>7</v>
      </c>
      <c r="V56" s="27">
        <v>7</v>
      </c>
      <c r="W56" s="27">
        <v>2</v>
      </c>
      <c r="X56" s="27">
        <v>4</v>
      </c>
      <c r="Y56" s="27" t="s">
        <v>41</v>
      </c>
      <c r="Z56" s="27" t="s">
        <v>41</v>
      </c>
      <c r="AA56" s="27" t="s">
        <v>41</v>
      </c>
      <c r="AB56" s="27" t="s">
        <v>41</v>
      </c>
      <c r="AC56" s="27" t="s">
        <v>41</v>
      </c>
      <c r="AD56" s="27" t="s">
        <v>41</v>
      </c>
      <c r="AE56" s="27" t="s">
        <v>41</v>
      </c>
      <c r="AF56" s="27" t="s">
        <v>41</v>
      </c>
      <c r="AG56" s="27" t="s">
        <v>41</v>
      </c>
      <c r="AH56" s="27" t="s">
        <v>41</v>
      </c>
      <c r="AI56" s="27" t="s">
        <v>41</v>
      </c>
      <c r="AJ56" s="27" t="s">
        <v>41</v>
      </c>
      <c r="AK56" s="27" t="s">
        <v>41</v>
      </c>
      <c r="AL56" s="27" t="s">
        <v>41</v>
      </c>
      <c r="AM56" s="27" t="s">
        <v>41</v>
      </c>
      <c r="AN56" s="27" t="s">
        <v>41</v>
      </c>
      <c r="AO56" s="27" t="s">
        <v>41</v>
      </c>
      <c r="AP56" s="27" t="s">
        <v>41</v>
      </c>
      <c r="AQ56" s="27" t="s">
        <v>41</v>
      </c>
      <c r="AR56" s="28" t="s">
        <v>41</v>
      </c>
      <c r="AS56" s="27" t="s">
        <v>252</v>
      </c>
      <c r="AT56" s="27">
        <v>1</v>
      </c>
      <c r="AU56" s="82">
        <v>0.63</v>
      </c>
      <c r="AV56" s="86" t="s">
        <v>41</v>
      </c>
      <c r="AW56" s="28" t="s">
        <v>45</v>
      </c>
      <c r="AX56" s="29">
        <f>AVERAGE(O56:Q56)+0.25*MAX(0,(COUNT(U56,W56,Y56,AA56,AC56,AE56,AG56,AI56,AK56,AM56,AO56,AQ56)-3))+IF(AU56&gt;0.55,0.25,0)+IF(MAX(U56,W56,Y56,AA56,AC56,AE56,AG56,AI56,AK56,AM56,AO56,AQ56)&gt;5,0.25,0)</f>
        <v>5.166666666666667</v>
      </c>
      <c r="AY56" s="30" t="str">
        <f>IF(AX56&gt;9,"SuperStar",IF(AX56&gt;8,"Star",IF(AX56&gt;6.5,"GoodReg",IF(AX56&gt;5,"Reg",IF(AX56&gt;4,"Bench","Minors")))))</f>
        <v>Reg</v>
      </c>
      <c r="AZ56" s="30">
        <f>AVERAGE(R56:T56)+0.25*MAX(0,(COUNT(V56,X56,Z56,AB56,AD56,AF56,AH56,AJ56,AL56,AN56,AP56,AR56)-3))+IF(AU56&gt;0.55,0.25,0)+IF(MAX(V56,X56,Z56,AB56,AD56,AF56,AH56,AJ56,AL56,AN56,AP56,AR56)&gt;5,0.25,0)</f>
        <v>5.833333333333333</v>
      </c>
      <c r="BA56" s="30" t="str">
        <f>IF(AZ56&gt;9,"SuperStar",IF(AZ56&gt;8,"Star",IF(AZ56&gt;6.5,"GoodReg",IF(AZ56&gt;5,"Reg",IF(AZ56&gt;4,"Bench","Minors")))))</f>
        <v>Reg</v>
      </c>
      <c r="BB56" s="30">
        <f>MIN(AX56+(MAX(0,25-S56))^1.5,AZ56)</f>
        <v>5.833333333333333</v>
      </c>
      <c r="BC56" s="30" t="str">
        <f>IF(BB56&gt;9,"SuperStar",IF(BB56&gt;8,"Star",IF(BB56&gt;6.5,"GoodReg",IF(BB56&gt;5,"Reg",IF(BB56&gt;4,"Bench","Minors")))))</f>
        <v>Reg</v>
      </c>
      <c r="BD56" s="108">
        <f>COUNT(U56:AR56)/2</f>
        <v>2</v>
      </c>
      <c r="BE56" s="109">
        <f>COUNTIF(U56:AR56,"&gt;5")/2</f>
        <v>1</v>
      </c>
      <c r="BF56" s="27" t="str">
        <f>IF(AW56=1,"Yes","")</f>
        <v/>
      </c>
      <c r="BG56" s="27" t="str">
        <f>IF(A56="ML","There",IF(AVERAGE($R56:$T56)&gt;=6,"Likely",IF(AVERAGE($R56:$T56)&gt;=4,"Possible","Unlikely")))</f>
        <v>Possible</v>
      </c>
      <c r="BH56" t="str">
        <f>IF(AVERAGE(O56:Q56)&gt;=5.5,"ML",IF(AVERAGE(O56:Q56)&gt;=4.5,"AAA",IF(AVERAGE(O56:Q56)&gt;=4,"AA",IF(AVERAGE(O56:Q56)&gt;=3.5,"A","SS-A"))))</f>
        <v>AAA</v>
      </c>
      <c r="BI56">
        <f>SUM(O56:Q56)</f>
        <v>14</v>
      </c>
      <c r="BJ56">
        <f>SUM(R56:T56)</f>
        <v>16</v>
      </c>
      <c r="BK56">
        <f>O56-R56</f>
        <v>0</v>
      </c>
      <c r="BL56">
        <f>P56-S56</f>
        <v>0</v>
      </c>
      <c r="BM56">
        <f>Q56-T56</f>
        <v>-2</v>
      </c>
      <c r="BN56">
        <f>SUM(BK56:BM56)</f>
        <v>-2</v>
      </c>
    </row>
    <row r="57" spans="1:66">
      <c r="A57" s="96" t="s">
        <v>215</v>
      </c>
      <c r="B57" t="s">
        <v>110</v>
      </c>
      <c r="C57" t="str">
        <f>IF(OR(OR(M57="Very High",M57="High"),AND(OR(M57="Very High",M57="High",M57="Normal"),OR(N57="Very High",N57="High"))),"K","T")</f>
        <v>T</v>
      </c>
      <c r="D57" s="27" t="s">
        <v>111</v>
      </c>
      <c r="E57" s="27" t="s">
        <v>512</v>
      </c>
      <c r="F57" s="27" t="s">
        <v>383</v>
      </c>
      <c r="G57" s="27" t="s">
        <v>327</v>
      </c>
      <c r="H57" s="27">
        <v>22</v>
      </c>
      <c r="I57" s="27" t="s">
        <v>107</v>
      </c>
      <c r="J57" s="28" t="s">
        <v>107</v>
      </c>
      <c r="K57" s="27" t="s">
        <v>47</v>
      </c>
      <c r="L57" s="27" t="s">
        <v>42</v>
      </c>
      <c r="M57" s="27" t="s">
        <v>230</v>
      </c>
      <c r="N57" s="28" t="s">
        <v>230</v>
      </c>
      <c r="O57" s="27">
        <v>6</v>
      </c>
      <c r="P57" s="27">
        <v>4</v>
      </c>
      <c r="Q57" s="28">
        <v>2</v>
      </c>
      <c r="R57" s="27">
        <v>6</v>
      </c>
      <c r="S57" s="27">
        <v>4</v>
      </c>
      <c r="T57" s="28">
        <v>4</v>
      </c>
      <c r="U57" s="27">
        <v>6</v>
      </c>
      <c r="V57" s="27">
        <v>7</v>
      </c>
      <c r="W57" s="27" t="s">
        <v>41</v>
      </c>
      <c r="X57" s="27" t="s">
        <v>41</v>
      </c>
      <c r="Y57" s="27">
        <v>6</v>
      </c>
      <c r="Z57" s="27">
        <v>6</v>
      </c>
      <c r="AA57" s="27">
        <v>5</v>
      </c>
      <c r="AB57" s="27">
        <v>6</v>
      </c>
      <c r="AC57" s="27" t="s">
        <v>41</v>
      </c>
      <c r="AD57" s="27" t="s">
        <v>41</v>
      </c>
      <c r="AE57" s="27">
        <v>6</v>
      </c>
      <c r="AF57" s="27">
        <v>6</v>
      </c>
      <c r="AG57" s="27" t="s">
        <v>41</v>
      </c>
      <c r="AH57" s="27" t="s">
        <v>41</v>
      </c>
      <c r="AI57" s="27">
        <v>5</v>
      </c>
      <c r="AJ57" s="27">
        <v>6</v>
      </c>
      <c r="AK57" s="27">
        <v>5</v>
      </c>
      <c r="AL57" s="27">
        <v>5</v>
      </c>
      <c r="AM57" s="27" t="s">
        <v>41</v>
      </c>
      <c r="AN57" s="27" t="s">
        <v>41</v>
      </c>
      <c r="AO57" s="27" t="s">
        <v>41</v>
      </c>
      <c r="AP57" s="27" t="s">
        <v>41</v>
      </c>
      <c r="AQ57" s="27" t="s">
        <v>41</v>
      </c>
      <c r="AR57" s="28" t="s">
        <v>41</v>
      </c>
      <c r="AS57" s="27" t="s">
        <v>15</v>
      </c>
      <c r="AT57" s="27">
        <v>4</v>
      </c>
      <c r="AU57" s="82">
        <v>0.53</v>
      </c>
      <c r="AV57" s="86" t="s">
        <v>41</v>
      </c>
      <c r="AW57" s="28">
        <v>0</v>
      </c>
      <c r="AX57" s="29">
        <f>AVERAGE(O57:Q57)+0.25*MAX(0,(COUNT(U57,W57,Y57,AA57,AC57,AE57,AG57,AI57,AK57,AM57,AO57,AQ57)-3))+IF(AU57&gt;0.55,0.25,0)+IF(MAX(U57,W57,Y57,AA57,AC57,AE57,AG57,AI57,AK57,AM57,AO57,AQ57)&gt;5,0.25,0)</f>
        <v>5</v>
      </c>
      <c r="AY57" s="30" t="str">
        <f>IF(AX57&gt;9,"SuperStar",IF(AX57&gt;8,"Star",IF(AX57&gt;6.5,"GoodReg",IF(AX57&gt;5,"Reg",IF(AX57&gt;4,"Bench","Minors")))))</f>
        <v>Bench</v>
      </c>
      <c r="AZ57" s="30">
        <f>AVERAGE(R57:T57)+0.25*MAX(0,(COUNT(V57,X57,Z57,AB57,AD57,AF57,AH57,AJ57,AL57,AN57,AP57,AR57)-3))+IF(AU57&gt;0.55,0.25,0)+IF(MAX(V57,X57,Z57,AB57,AD57,AF57,AH57,AJ57,AL57,AN57,AP57,AR57)&gt;5,0.25,0)</f>
        <v>5.666666666666667</v>
      </c>
      <c r="BA57" s="30" t="str">
        <f>IF(AZ57&gt;9,"SuperStar",IF(AZ57&gt;8,"Star",IF(AZ57&gt;6.5,"GoodReg",IF(AZ57&gt;5,"Reg",IF(AZ57&gt;4,"Bench","Minors")))))</f>
        <v>Reg</v>
      </c>
      <c r="BB57" s="30">
        <f>MIN(AX57+(MAX(0,25-S57))^1.5,AZ57)</f>
        <v>5.666666666666667</v>
      </c>
      <c r="BC57" s="30" t="str">
        <f>IF(BB57&gt;9,"SuperStar",IF(BB57&gt;8,"Star",IF(BB57&gt;6.5,"GoodReg",IF(BB57&gt;5,"Reg",IF(BB57&gt;4,"Bench","Minors")))))</f>
        <v>Reg</v>
      </c>
      <c r="BD57" s="108">
        <f>COUNT(U57:AR57)/2</f>
        <v>6</v>
      </c>
      <c r="BE57" s="109">
        <f>COUNTIF(U57:AR57,"&gt;5")/2</f>
        <v>4</v>
      </c>
      <c r="BF57" s="27" t="str">
        <f>IF(AW57=1,"Yes","")</f>
        <v/>
      </c>
      <c r="BG57" s="27" t="str">
        <f>IF(A57="ML","There",IF(AVERAGE($R57:$T57)&gt;=6,"Likely",IF(AVERAGE($R57:$T57)&gt;=4,"Possible","Unlikely")))</f>
        <v>Possible</v>
      </c>
      <c r="BH57" t="str">
        <f>IF(AVERAGE(O57:Q57)&gt;=5.5,"ML",IF(AVERAGE(O57:Q57)&gt;=4.5,"AAA",IF(AVERAGE(O57:Q57)&gt;=4,"AA",IF(AVERAGE(O57:Q57)&gt;=3.5,"A","SS-A"))))</f>
        <v>AA</v>
      </c>
      <c r="BI57">
        <f>SUM(O57:Q57)</f>
        <v>12</v>
      </c>
      <c r="BJ57">
        <f>SUM(R57:T57)</f>
        <v>14</v>
      </c>
      <c r="BK57">
        <f>O57-R57</f>
        <v>0</v>
      </c>
      <c r="BL57">
        <f>P57-S57</f>
        <v>0</v>
      </c>
      <c r="BM57">
        <f>Q57-T57</f>
        <v>-2</v>
      </c>
      <c r="BN57">
        <f>SUM(BK57:BM57)</f>
        <v>-2</v>
      </c>
    </row>
    <row r="58" spans="1:66">
      <c r="A58" s="96" t="s">
        <v>215</v>
      </c>
      <c r="B58" t="s">
        <v>110</v>
      </c>
      <c r="C58" t="str">
        <f>IF(OR(OR(M58="Very High",M58="High"),AND(OR(M58="Very High",M58="High",M58="Normal"),OR(N58="Very High",N58="High"))),"K","T")</f>
        <v>K</v>
      </c>
      <c r="D58" s="27" t="s">
        <v>110</v>
      </c>
      <c r="E58" s="27" t="s">
        <v>455</v>
      </c>
      <c r="F58" s="27" t="s">
        <v>386</v>
      </c>
      <c r="G58" s="27" t="s">
        <v>215</v>
      </c>
      <c r="H58" s="27">
        <v>23</v>
      </c>
      <c r="I58" s="27" t="s">
        <v>107</v>
      </c>
      <c r="J58" s="28" t="s">
        <v>107</v>
      </c>
      <c r="K58" s="27" t="s">
        <v>47</v>
      </c>
      <c r="L58" s="27" t="s">
        <v>42</v>
      </c>
      <c r="M58" s="27" t="s">
        <v>228</v>
      </c>
      <c r="N58" s="28" t="s">
        <v>232</v>
      </c>
      <c r="O58" s="27">
        <v>8</v>
      </c>
      <c r="P58" s="27">
        <v>3</v>
      </c>
      <c r="Q58" s="28">
        <v>3</v>
      </c>
      <c r="R58" s="27">
        <v>9</v>
      </c>
      <c r="S58" s="27">
        <v>3</v>
      </c>
      <c r="T58" s="28">
        <v>4</v>
      </c>
      <c r="U58" s="27">
        <v>8</v>
      </c>
      <c r="V58" s="27">
        <v>8</v>
      </c>
      <c r="W58" s="27" t="s">
        <v>41</v>
      </c>
      <c r="X58" s="27" t="s">
        <v>41</v>
      </c>
      <c r="Y58" s="27">
        <v>7</v>
      </c>
      <c r="Z58" s="27">
        <v>7</v>
      </c>
      <c r="AA58" s="27" t="s">
        <v>41</v>
      </c>
      <c r="AB58" s="27" t="s">
        <v>41</v>
      </c>
      <c r="AC58" s="27" t="s">
        <v>41</v>
      </c>
      <c r="AD58" s="27" t="s">
        <v>41</v>
      </c>
      <c r="AE58" s="27" t="s">
        <v>41</v>
      </c>
      <c r="AF58" s="27" t="s">
        <v>41</v>
      </c>
      <c r="AG58" s="27" t="s">
        <v>41</v>
      </c>
      <c r="AH58" s="27" t="s">
        <v>41</v>
      </c>
      <c r="AI58" s="27" t="s">
        <v>41</v>
      </c>
      <c r="AJ58" s="27" t="s">
        <v>41</v>
      </c>
      <c r="AK58" s="27" t="s">
        <v>41</v>
      </c>
      <c r="AL58" s="27" t="s">
        <v>41</v>
      </c>
      <c r="AM58" s="27" t="s">
        <v>41</v>
      </c>
      <c r="AN58" s="27" t="s">
        <v>41</v>
      </c>
      <c r="AO58" s="27" t="s">
        <v>41</v>
      </c>
      <c r="AP58" s="27" t="s">
        <v>41</v>
      </c>
      <c r="AQ58" s="27" t="s">
        <v>41</v>
      </c>
      <c r="AR58" s="28" t="s">
        <v>41</v>
      </c>
      <c r="AS58" s="27" t="s">
        <v>419</v>
      </c>
      <c r="AT58" s="27">
        <v>7</v>
      </c>
      <c r="AU58" s="82">
        <v>0.35</v>
      </c>
      <c r="AV58" s="86" t="s">
        <v>41</v>
      </c>
      <c r="AW58" s="28">
        <v>0</v>
      </c>
      <c r="AX58" s="29">
        <f>AVERAGE(O58:Q58)+0.25*MAX(0,(COUNT(U58,W58,Y58,AA58,AC58,AE58,AG58,AI58,AK58,AM58,AO58,AQ58)-3))+IF(AU58&gt;0.55,0.25,0)+IF(MAX(U58,W58,Y58,AA58,AC58,AE58,AG58,AI58,AK58,AM58,AO58,AQ58)&gt;5,0.25,0)</f>
        <v>4.916666666666667</v>
      </c>
      <c r="AY58" s="30" t="str">
        <f>IF(AX58&gt;9,"SuperStar",IF(AX58&gt;8,"Star",IF(AX58&gt;6.5,"GoodReg",IF(AX58&gt;5,"Reg",IF(AX58&gt;4,"Bench","Minors")))))</f>
        <v>Bench</v>
      </c>
      <c r="AZ58" s="30">
        <f>AVERAGE(R58:T58)+0.25*MAX(0,(COUNT(V58,X58,Z58,AB58,AD58,AF58,AH58,AJ58,AL58,AN58,AP58,AR58)-3))+IF(AU58&gt;0.55,0.25,0)+IF(MAX(V58,X58,Z58,AB58,AD58,AF58,AH58,AJ58,AL58,AN58,AP58,AR58)&gt;5,0.25,0)</f>
        <v>5.583333333333333</v>
      </c>
      <c r="BA58" s="30" t="str">
        <f>IF(AZ58&gt;9,"SuperStar",IF(AZ58&gt;8,"Star",IF(AZ58&gt;6.5,"GoodReg",IF(AZ58&gt;5,"Reg",IF(AZ58&gt;4,"Bench","Minors")))))</f>
        <v>Reg</v>
      </c>
      <c r="BB58" s="30">
        <f>MIN(AX58+(MAX(0,25-S58))^1.5,AZ58)</f>
        <v>5.583333333333333</v>
      </c>
      <c r="BC58" s="30" t="str">
        <f>IF(BB58&gt;9,"SuperStar",IF(BB58&gt;8,"Star",IF(BB58&gt;6.5,"GoodReg",IF(BB58&gt;5,"Reg",IF(BB58&gt;4,"Bench","Minors")))))</f>
        <v>Reg</v>
      </c>
      <c r="BD58" s="108">
        <f>COUNT(U58:AR58)/2</f>
        <v>2</v>
      </c>
      <c r="BE58" s="109">
        <f>COUNTIF(U58:AR58,"&gt;5")/2</f>
        <v>2</v>
      </c>
      <c r="BF58" s="27" t="str">
        <f>IF(AW58=1,"Yes","")</f>
        <v/>
      </c>
      <c r="BG58" s="27" t="str">
        <f>IF(A58="ML","There",IF(AVERAGE($R58:$T58)&gt;=6,"Likely",IF(AVERAGE($R58:$T58)&gt;=4,"Possible","Unlikely")))</f>
        <v>Possible</v>
      </c>
      <c r="BH58" t="str">
        <f>IF(AVERAGE(O58:Q58)&gt;=5.5,"ML",IF(AVERAGE(O58:Q58)&gt;=4.5,"AAA",IF(AVERAGE(O58:Q58)&gt;=4,"AA",IF(AVERAGE(O58:Q58)&gt;=3.5,"A","SS-A"))))</f>
        <v>AAA</v>
      </c>
      <c r="BI58">
        <f>SUM(O58:Q58)</f>
        <v>14</v>
      </c>
      <c r="BJ58">
        <f>SUM(R58:T58)</f>
        <v>16</v>
      </c>
      <c r="BK58">
        <f>O58-R58</f>
        <v>-1</v>
      </c>
      <c r="BL58">
        <f>P58-S58</f>
        <v>0</v>
      </c>
      <c r="BM58">
        <f>Q58-T58</f>
        <v>-1</v>
      </c>
      <c r="BN58">
        <f>SUM(BK58:BM58)</f>
        <v>-2</v>
      </c>
    </row>
    <row r="59" spans="1:66">
      <c r="A59" s="96" t="s">
        <v>215</v>
      </c>
      <c r="B59" t="s">
        <v>110</v>
      </c>
      <c r="C59" t="str">
        <f>IF(OR(OR(M59="Very High",M59="High"),AND(OR(M59="Very High",M59="High",M59="Normal"),OR(N59="Very High",N59="High"))),"K","T")</f>
        <v>K</v>
      </c>
      <c r="D59" s="27" t="s">
        <v>111</v>
      </c>
      <c r="E59" s="27" t="s">
        <v>411</v>
      </c>
      <c r="F59" s="27" t="s">
        <v>386</v>
      </c>
      <c r="G59" s="27" t="s">
        <v>215</v>
      </c>
      <c r="H59" s="27">
        <v>20</v>
      </c>
      <c r="I59" s="27" t="s">
        <v>107</v>
      </c>
      <c r="J59" s="28" t="s">
        <v>107</v>
      </c>
      <c r="K59" s="27" t="s">
        <v>47</v>
      </c>
      <c r="L59" s="27" t="s">
        <v>42</v>
      </c>
      <c r="M59" s="27" t="s">
        <v>228</v>
      </c>
      <c r="N59" s="28" t="s">
        <v>229</v>
      </c>
      <c r="O59" s="27">
        <v>5</v>
      </c>
      <c r="P59" s="27">
        <v>4</v>
      </c>
      <c r="Q59" s="28">
        <v>3</v>
      </c>
      <c r="R59" s="27">
        <v>5</v>
      </c>
      <c r="S59" s="27">
        <v>5</v>
      </c>
      <c r="T59" s="28">
        <v>6</v>
      </c>
      <c r="U59" s="27">
        <v>5</v>
      </c>
      <c r="V59" s="27">
        <v>5</v>
      </c>
      <c r="W59" s="27">
        <v>5</v>
      </c>
      <c r="X59" s="27">
        <v>5</v>
      </c>
      <c r="Y59" s="27">
        <v>4</v>
      </c>
      <c r="Z59" s="27">
        <v>5</v>
      </c>
      <c r="AA59" s="27">
        <v>5</v>
      </c>
      <c r="AB59" s="27">
        <v>5</v>
      </c>
      <c r="AC59" s="27" t="s">
        <v>41</v>
      </c>
      <c r="AD59" s="27" t="s">
        <v>41</v>
      </c>
      <c r="AE59" s="27" t="s">
        <v>41</v>
      </c>
      <c r="AF59" s="27" t="s">
        <v>41</v>
      </c>
      <c r="AG59" s="27" t="s">
        <v>41</v>
      </c>
      <c r="AH59" s="27" t="s">
        <v>41</v>
      </c>
      <c r="AI59" s="27" t="s">
        <v>41</v>
      </c>
      <c r="AJ59" s="27" t="s">
        <v>41</v>
      </c>
      <c r="AK59" s="27" t="s">
        <v>41</v>
      </c>
      <c r="AL59" s="27" t="s">
        <v>41</v>
      </c>
      <c r="AM59" s="27" t="s">
        <v>41</v>
      </c>
      <c r="AN59" s="27" t="s">
        <v>41</v>
      </c>
      <c r="AO59" s="27" t="s">
        <v>41</v>
      </c>
      <c r="AP59" s="27" t="s">
        <v>41</v>
      </c>
      <c r="AQ59" s="27" t="s">
        <v>41</v>
      </c>
      <c r="AR59" s="28" t="s">
        <v>41</v>
      </c>
      <c r="AS59" s="27" t="s">
        <v>2</v>
      </c>
      <c r="AT59" s="27">
        <v>9</v>
      </c>
      <c r="AU59" s="82">
        <v>0.46</v>
      </c>
      <c r="AV59" s="86" t="s">
        <v>41</v>
      </c>
      <c r="AW59" s="28">
        <v>0</v>
      </c>
      <c r="AX59" s="29">
        <f>AVERAGE(O59:Q59)+0.25*MAX(0,(COUNT(U59,W59,Y59,AA59,AC59,AE59,AG59,AI59,AK59,AM59,AO59,AQ59)-3))+IF(AU59&gt;0.55,0.25,0)+IF(MAX(U59,W59,Y59,AA59,AC59,AE59,AG59,AI59,AK59,AM59,AO59,AQ59)&gt;5,0.25,0)</f>
        <v>4.25</v>
      </c>
      <c r="AY59" s="30" t="str">
        <f>IF(AX59&gt;9,"SuperStar",IF(AX59&gt;8,"Star",IF(AX59&gt;6.5,"GoodReg",IF(AX59&gt;5,"Reg",IF(AX59&gt;4,"Bench","Minors")))))</f>
        <v>Bench</v>
      </c>
      <c r="AZ59" s="30">
        <f>AVERAGE(R59:T59)+0.25*MAX(0,(COUNT(V59,X59,Z59,AB59,AD59,AF59,AH59,AJ59,AL59,AN59,AP59,AR59)-3))+IF(AU59&gt;0.55,0.25,0)+IF(MAX(V59,X59,Z59,AB59,AD59,AF59,AH59,AJ59,AL59,AN59,AP59,AR59)&gt;5,0.25,0)</f>
        <v>5.583333333333333</v>
      </c>
      <c r="BA59" s="30" t="str">
        <f>IF(AZ59&gt;9,"SuperStar",IF(AZ59&gt;8,"Star",IF(AZ59&gt;6.5,"GoodReg",IF(AZ59&gt;5,"Reg",IF(AZ59&gt;4,"Bench","Minors")))))</f>
        <v>Reg</v>
      </c>
      <c r="BB59" s="30">
        <f>MIN(AX59+(MAX(0,25-S59))^1.5,AZ59)</f>
        <v>5.583333333333333</v>
      </c>
      <c r="BC59" s="30" t="str">
        <f>IF(BB59&gt;9,"SuperStar",IF(BB59&gt;8,"Star",IF(BB59&gt;6.5,"GoodReg",IF(BB59&gt;5,"Reg",IF(BB59&gt;4,"Bench","Minors")))))</f>
        <v>Reg</v>
      </c>
      <c r="BD59" s="108">
        <f>COUNT(U59:AR59)/2</f>
        <v>4</v>
      </c>
      <c r="BE59" s="109">
        <f>COUNTIF(U59:AR59,"&gt;5")/2</f>
        <v>0</v>
      </c>
      <c r="BF59" s="27" t="str">
        <f>IF(AW59=1,"Yes","")</f>
        <v/>
      </c>
      <c r="BG59" s="27" t="str">
        <f>IF(A59="ML","There",IF(AVERAGE($R59:$T59)&gt;=6,"Likely",IF(AVERAGE($R59:$T59)&gt;=4,"Possible","Unlikely")))</f>
        <v>Possible</v>
      </c>
      <c r="BH59" t="str">
        <f>IF(AVERAGE(O59:Q59)&gt;=5.5,"ML",IF(AVERAGE(O59:Q59)&gt;=4.5,"AAA",IF(AVERAGE(O59:Q59)&gt;=4,"AA",IF(AVERAGE(O59:Q59)&gt;=3.5,"A","SS-A"))))</f>
        <v>AA</v>
      </c>
      <c r="BI59">
        <f>SUM(O59:Q59)</f>
        <v>12</v>
      </c>
      <c r="BJ59">
        <f>SUM(R59:T59)</f>
        <v>16</v>
      </c>
      <c r="BK59">
        <f>O59-R59</f>
        <v>0</v>
      </c>
      <c r="BL59">
        <f>P59-S59</f>
        <v>-1</v>
      </c>
      <c r="BM59">
        <f>Q59-T59</f>
        <v>-3</v>
      </c>
      <c r="BN59">
        <f>SUM(BK59:BM59)</f>
        <v>-4</v>
      </c>
    </row>
    <row r="60" spans="1:66">
      <c r="A60" s="96" t="s">
        <v>215</v>
      </c>
      <c r="B60" t="s">
        <v>110</v>
      </c>
      <c r="C60" t="str">
        <f>IF(OR(OR(M60="Very High",M60="High"),AND(OR(M60="Very High",M60="High",M60="Normal"),OR(N60="Very High",N60="High"))),"K","T")</f>
        <v>K</v>
      </c>
      <c r="D60" s="27" t="s">
        <v>110</v>
      </c>
      <c r="E60" s="27" t="s">
        <v>422</v>
      </c>
      <c r="F60" s="27" t="s">
        <v>386</v>
      </c>
      <c r="G60" s="27" t="s">
        <v>215</v>
      </c>
      <c r="H60" s="27">
        <v>24</v>
      </c>
      <c r="I60" s="27" t="s">
        <v>109</v>
      </c>
      <c r="J60" s="28" t="s">
        <v>107</v>
      </c>
      <c r="K60" s="27" t="s">
        <v>47</v>
      </c>
      <c r="L60" s="27" t="s">
        <v>47</v>
      </c>
      <c r="M60" s="27" t="s">
        <v>230</v>
      </c>
      <c r="N60" s="28" t="s">
        <v>229</v>
      </c>
      <c r="O60" s="27">
        <v>5</v>
      </c>
      <c r="P60" s="27">
        <v>4</v>
      </c>
      <c r="Q60" s="28">
        <v>3</v>
      </c>
      <c r="R60" s="27">
        <v>5</v>
      </c>
      <c r="S60" s="27">
        <v>4</v>
      </c>
      <c r="T60" s="28">
        <v>4</v>
      </c>
      <c r="U60" s="27">
        <v>6</v>
      </c>
      <c r="V60" s="27">
        <v>6</v>
      </c>
      <c r="W60" s="27" t="s">
        <v>41</v>
      </c>
      <c r="X60" s="27" t="s">
        <v>41</v>
      </c>
      <c r="Y60" s="27">
        <v>4</v>
      </c>
      <c r="Z60" s="27">
        <v>5</v>
      </c>
      <c r="AA60" s="27" t="s">
        <v>41</v>
      </c>
      <c r="AB60" s="27" t="s">
        <v>41</v>
      </c>
      <c r="AC60" s="27" t="s">
        <v>41</v>
      </c>
      <c r="AD60" s="27" t="s">
        <v>41</v>
      </c>
      <c r="AE60" s="27" t="s">
        <v>41</v>
      </c>
      <c r="AF60" s="27" t="s">
        <v>41</v>
      </c>
      <c r="AG60" s="27" t="s">
        <v>41</v>
      </c>
      <c r="AH60" s="27" t="s">
        <v>41</v>
      </c>
      <c r="AI60" s="27" t="s">
        <v>41</v>
      </c>
      <c r="AJ60" s="27" t="s">
        <v>41</v>
      </c>
      <c r="AK60" s="27" t="s">
        <v>41</v>
      </c>
      <c r="AL60" s="27" t="s">
        <v>41</v>
      </c>
      <c r="AM60" s="27" t="s">
        <v>41</v>
      </c>
      <c r="AN60" s="27" t="s">
        <v>41</v>
      </c>
      <c r="AO60" s="27" t="s">
        <v>41</v>
      </c>
      <c r="AP60" s="27" t="s">
        <v>41</v>
      </c>
      <c r="AQ60" s="27" t="s">
        <v>41</v>
      </c>
      <c r="AR60" s="28" t="s">
        <v>41</v>
      </c>
      <c r="AS60" s="27" t="s">
        <v>11</v>
      </c>
      <c r="AT60" s="27">
        <v>3</v>
      </c>
      <c r="AU60" s="82">
        <v>0.37</v>
      </c>
      <c r="AV60" s="86" t="s">
        <v>41</v>
      </c>
      <c r="AW60" s="28">
        <v>0</v>
      </c>
      <c r="AX60" s="29">
        <f>AVERAGE(O60:Q60)+0.25*MAX(0,(COUNT(U60,W60,Y60,AA60,AC60,AE60,AG60,AI60,AK60,AM60,AO60,AQ60)-3))+IF(AU60&gt;0.55,0.25,0)+IF(MAX(U60,W60,Y60,AA60,AC60,AE60,AG60,AI60,AK60,AM60,AO60,AQ60)&gt;5,0.25,0)</f>
        <v>4.25</v>
      </c>
      <c r="AY60" s="30" t="str">
        <f>IF(AX60&gt;9,"SuperStar",IF(AX60&gt;8,"Star",IF(AX60&gt;6.5,"GoodReg",IF(AX60&gt;5,"Reg",IF(AX60&gt;4,"Bench","Minors")))))</f>
        <v>Bench</v>
      </c>
      <c r="AZ60" s="30">
        <f>AVERAGE(R60:T60)+0.25*MAX(0,(COUNT(V60,X60,Z60,AB60,AD60,AF60,AH60,AJ60,AL60,AN60,AP60,AR60)-3))+IF(AU60&gt;0.55,0.25,0)+IF(MAX(V60,X60,Z60,AB60,AD60,AF60,AH60,AJ60,AL60,AN60,AP60,AR60)&gt;5,0.25,0)</f>
        <v>4.583333333333333</v>
      </c>
      <c r="BA60" s="30" t="str">
        <f>IF(AZ60&gt;9,"SuperStar",IF(AZ60&gt;8,"Star",IF(AZ60&gt;6.5,"GoodReg",IF(AZ60&gt;5,"Reg",IF(AZ60&gt;4,"Bench","Minors")))))</f>
        <v>Bench</v>
      </c>
      <c r="BB60" s="30">
        <f>MIN(AX60+(MAX(0,25-S60))^1.5,AZ60)</f>
        <v>4.583333333333333</v>
      </c>
      <c r="BC60" s="30" t="str">
        <f>IF(BB60&gt;9,"SuperStar",IF(BB60&gt;8,"Star",IF(BB60&gt;6.5,"GoodReg",IF(BB60&gt;5,"Reg",IF(BB60&gt;4,"Bench","Minors")))))</f>
        <v>Bench</v>
      </c>
      <c r="BD60" s="108">
        <f>COUNT(U60:AR60)/2</f>
        <v>2</v>
      </c>
      <c r="BE60" s="109">
        <f>COUNTIF(U60:AR60,"&gt;5")/2</f>
        <v>1</v>
      </c>
      <c r="BF60" s="27" t="str">
        <f>IF(AW60=1,"Yes","")</f>
        <v/>
      </c>
      <c r="BG60" s="27" t="str">
        <f>IF(A60="ML","There",IF(AVERAGE($R60:$T60)&gt;=6,"Likely",IF(AVERAGE($R60:$T60)&gt;=4,"Possible","Unlikely")))</f>
        <v>Possible</v>
      </c>
      <c r="BH60" t="str">
        <f>IF(AVERAGE(O60:Q60)&gt;=5.5,"ML",IF(AVERAGE(O60:Q60)&gt;=4.5,"AAA",IF(AVERAGE(O60:Q60)&gt;=4,"AA",IF(AVERAGE(O60:Q60)&gt;=3.5,"A","SS-A"))))</f>
        <v>AA</v>
      </c>
      <c r="BI60">
        <f>SUM(O60:Q60)</f>
        <v>12</v>
      </c>
      <c r="BJ60">
        <f>SUM(R60:T60)</f>
        <v>13</v>
      </c>
      <c r="BK60">
        <f>O60-R60</f>
        <v>0</v>
      </c>
      <c r="BL60">
        <f>P60-S60</f>
        <v>0</v>
      </c>
      <c r="BM60">
        <f>Q60-T60</f>
        <v>-1</v>
      </c>
      <c r="BN60">
        <f>SUM(BK60:BM60)</f>
        <v>-1</v>
      </c>
    </row>
    <row r="61" spans="1:66">
      <c r="A61" s="96" t="s">
        <v>215</v>
      </c>
      <c r="B61" t="s">
        <v>110</v>
      </c>
      <c r="C61" t="str">
        <f>IF(OR(OR(M61="Very High",M61="High"),AND(OR(M61="Very High",M61="High",M61="Normal"),OR(N61="Very High",N61="High"))),"K","T")</f>
        <v>T</v>
      </c>
      <c r="D61" s="27" t="s">
        <v>110</v>
      </c>
      <c r="E61" s="27" t="s">
        <v>436</v>
      </c>
      <c r="F61" s="27" t="s">
        <v>386</v>
      </c>
      <c r="G61" s="27" t="s">
        <v>215</v>
      </c>
      <c r="H61" s="27">
        <v>23</v>
      </c>
      <c r="I61" s="27" t="s">
        <v>107</v>
      </c>
      <c r="J61" s="28" t="s">
        <v>106</v>
      </c>
      <c r="K61" s="27" t="s">
        <v>47</v>
      </c>
      <c r="L61" s="27" t="s">
        <v>47</v>
      </c>
      <c r="M61" s="27" t="s">
        <v>231</v>
      </c>
      <c r="N61" s="28" t="s">
        <v>231</v>
      </c>
      <c r="O61" s="27">
        <v>6</v>
      </c>
      <c r="P61" s="27">
        <v>3</v>
      </c>
      <c r="Q61" s="28">
        <v>2</v>
      </c>
      <c r="R61" s="27">
        <v>6</v>
      </c>
      <c r="S61" s="27">
        <v>3</v>
      </c>
      <c r="T61" s="28">
        <v>3</v>
      </c>
      <c r="U61" s="27">
        <v>8</v>
      </c>
      <c r="V61" s="27">
        <v>8</v>
      </c>
      <c r="W61" s="27" t="s">
        <v>41</v>
      </c>
      <c r="X61" s="27" t="s">
        <v>41</v>
      </c>
      <c r="Y61" s="27" t="s">
        <v>41</v>
      </c>
      <c r="Z61" s="27" t="s">
        <v>41</v>
      </c>
      <c r="AA61" s="27">
        <v>5</v>
      </c>
      <c r="AB61" s="27">
        <v>5</v>
      </c>
      <c r="AC61" s="27" t="s">
        <v>41</v>
      </c>
      <c r="AD61" s="27" t="s">
        <v>41</v>
      </c>
      <c r="AE61" s="27" t="s">
        <v>41</v>
      </c>
      <c r="AF61" s="27" t="s">
        <v>41</v>
      </c>
      <c r="AG61" s="27" t="s">
        <v>41</v>
      </c>
      <c r="AH61" s="27" t="s">
        <v>41</v>
      </c>
      <c r="AI61" s="27" t="s">
        <v>41</v>
      </c>
      <c r="AJ61" s="27" t="s">
        <v>41</v>
      </c>
      <c r="AK61" s="27" t="s">
        <v>41</v>
      </c>
      <c r="AL61" s="27" t="s">
        <v>41</v>
      </c>
      <c r="AM61" s="27" t="s">
        <v>41</v>
      </c>
      <c r="AN61" s="27" t="s">
        <v>41</v>
      </c>
      <c r="AO61" s="27" t="s">
        <v>41</v>
      </c>
      <c r="AP61" s="27" t="s">
        <v>41</v>
      </c>
      <c r="AQ61" s="27" t="s">
        <v>41</v>
      </c>
      <c r="AR61" s="28" t="s">
        <v>41</v>
      </c>
      <c r="AS61" s="27" t="s">
        <v>5</v>
      </c>
      <c r="AT61" s="27">
        <v>5</v>
      </c>
      <c r="AU61" s="82">
        <v>0.44</v>
      </c>
      <c r="AV61" s="86" t="s">
        <v>41</v>
      </c>
      <c r="AW61" s="28">
        <v>0</v>
      </c>
      <c r="AX61" s="29">
        <f>AVERAGE(O61:Q61)+0.25*MAX(0,(COUNT(U61,W61,Y61,AA61,AC61,AE61,AG61,AI61,AK61,AM61,AO61,AQ61)-3))+IF(AU61&gt;0.55,0.25,0)+IF(MAX(U61,W61,Y61,AA61,AC61,AE61,AG61,AI61,AK61,AM61,AO61,AQ61)&gt;5,0.25,0)</f>
        <v>3.9166666666666665</v>
      </c>
      <c r="AY61" s="30" t="str">
        <f>IF(AX61&gt;9,"SuperStar",IF(AX61&gt;8,"Star",IF(AX61&gt;6.5,"GoodReg",IF(AX61&gt;5,"Reg",IF(AX61&gt;4,"Bench","Minors")))))</f>
        <v>Minors</v>
      </c>
      <c r="AZ61" s="30">
        <f>AVERAGE(R61:T61)+0.25*MAX(0,(COUNT(V61,X61,Z61,AB61,AD61,AF61,AH61,AJ61,AL61,AN61,AP61,AR61)-3))+IF(AU61&gt;0.55,0.25,0)+IF(MAX(V61,X61,Z61,AB61,AD61,AF61,AH61,AJ61,AL61,AN61,AP61,AR61)&gt;5,0.25,0)</f>
        <v>4.25</v>
      </c>
      <c r="BA61" s="30" t="str">
        <f>IF(AZ61&gt;9,"SuperStar",IF(AZ61&gt;8,"Star",IF(AZ61&gt;6.5,"GoodReg",IF(AZ61&gt;5,"Reg",IF(AZ61&gt;4,"Bench","Minors")))))</f>
        <v>Bench</v>
      </c>
      <c r="BB61" s="30">
        <f>MIN(AX61+(MAX(0,25-S61))^1.5,AZ61)</f>
        <v>4.25</v>
      </c>
      <c r="BC61" s="30" t="str">
        <f>IF(BB61&gt;9,"SuperStar",IF(BB61&gt;8,"Star",IF(BB61&gt;6.5,"GoodReg",IF(BB61&gt;5,"Reg",IF(BB61&gt;4,"Bench","Minors")))))</f>
        <v>Bench</v>
      </c>
      <c r="BD61" s="108">
        <f>COUNT(U61:AR61)/2</f>
        <v>2</v>
      </c>
      <c r="BE61" s="109">
        <f>COUNTIF(U61:AR61,"&gt;5")/2</f>
        <v>1</v>
      </c>
      <c r="BF61" s="27" t="str">
        <f>IF(AW61=1,"Yes","")</f>
        <v/>
      </c>
      <c r="BG61" s="27" t="str">
        <f>IF(A61="ML","There",IF(AVERAGE($R61:$T61)&gt;=6,"Likely",IF(AVERAGE($R61:$T61)&gt;=4,"Possible","Unlikely")))</f>
        <v>Possible</v>
      </c>
      <c r="BH61" t="str">
        <f>IF(AVERAGE(O61:Q61)&gt;=5.5,"ML",IF(AVERAGE(O61:Q61)&gt;=4.5,"AAA",IF(AVERAGE(O61:Q61)&gt;=4,"AA",IF(AVERAGE(O61:Q61)&gt;=3.5,"A","SS-A"))))</f>
        <v>A</v>
      </c>
      <c r="BI61">
        <f>SUM(O61:Q61)</f>
        <v>11</v>
      </c>
      <c r="BJ61">
        <f>SUM(R61:T61)</f>
        <v>12</v>
      </c>
      <c r="BK61">
        <f>O61-R61</f>
        <v>0</v>
      </c>
      <c r="BL61">
        <f>P61-S61</f>
        <v>0</v>
      </c>
      <c r="BM61">
        <f>Q61-T61</f>
        <v>-1</v>
      </c>
      <c r="BN61">
        <f>SUM(BK61:BM61)</f>
        <v>-1</v>
      </c>
    </row>
    <row r="62" spans="1:66">
      <c r="A62" s="96" t="s">
        <v>215</v>
      </c>
      <c r="B62" t="s">
        <v>584</v>
      </c>
      <c r="C62" t="str">
        <f>IF(OR(OR(M62="Very High",M62="High"),AND(OR(M62="Very High",M62="High",M62="Normal"),OR(N62="Very High",N62="High"))),"K","T")</f>
        <v>K</v>
      </c>
      <c r="D62" s="27" t="s">
        <v>111</v>
      </c>
      <c r="E62" s="27" t="s">
        <v>408</v>
      </c>
      <c r="F62" s="27" t="s">
        <v>386</v>
      </c>
      <c r="G62" s="27" t="s">
        <v>215</v>
      </c>
      <c r="H62" s="27">
        <v>24</v>
      </c>
      <c r="I62" s="27" t="s">
        <v>107</v>
      </c>
      <c r="J62" s="28" t="s">
        <v>106</v>
      </c>
      <c r="K62" s="27" t="s">
        <v>47</v>
      </c>
      <c r="L62" s="27" t="s">
        <v>47</v>
      </c>
      <c r="M62" s="27" t="s">
        <v>228</v>
      </c>
      <c r="N62" s="28" t="s">
        <v>230</v>
      </c>
      <c r="O62" s="27">
        <v>4</v>
      </c>
      <c r="P62" s="27">
        <v>5</v>
      </c>
      <c r="Q62" s="28">
        <v>2</v>
      </c>
      <c r="R62" s="27">
        <v>4</v>
      </c>
      <c r="S62" s="27">
        <v>5</v>
      </c>
      <c r="T62" s="28">
        <v>2</v>
      </c>
      <c r="U62" s="27">
        <v>5</v>
      </c>
      <c r="V62" s="27">
        <v>5</v>
      </c>
      <c r="W62" s="27">
        <v>3</v>
      </c>
      <c r="X62" s="27">
        <v>4</v>
      </c>
      <c r="Y62" s="27">
        <v>4</v>
      </c>
      <c r="Z62" s="27">
        <v>4</v>
      </c>
      <c r="AA62" s="27">
        <v>3</v>
      </c>
      <c r="AB62" s="27">
        <v>3</v>
      </c>
      <c r="AC62" s="27" t="s">
        <v>41</v>
      </c>
      <c r="AD62" s="27" t="s">
        <v>41</v>
      </c>
      <c r="AE62" s="27" t="s">
        <v>41</v>
      </c>
      <c r="AF62" s="27" t="s">
        <v>41</v>
      </c>
      <c r="AG62" s="27" t="s">
        <v>41</v>
      </c>
      <c r="AH62" s="27" t="s">
        <v>41</v>
      </c>
      <c r="AI62" s="27" t="s">
        <v>41</v>
      </c>
      <c r="AJ62" s="27" t="s">
        <v>41</v>
      </c>
      <c r="AK62" s="27" t="s">
        <v>41</v>
      </c>
      <c r="AL62" s="27" t="s">
        <v>41</v>
      </c>
      <c r="AM62" s="27" t="s">
        <v>41</v>
      </c>
      <c r="AN62" s="27" t="s">
        <v>41</v>
      </c>
      <c r="AO62" s="27" t="s">
        <v>41</v>
      </c>
      <c r="AP62" s="27" t="s">
        <v>41</v>
      </c>
      <c r="AQ62" s="27" t="s">
        <v>41</v>
      </c>
      <c r="AR62" s="28" t="s">
        <v>41</v>
      </c>
      <c r="AS62" s="27" t="s">
        <v>3</v>
      </c>
      <c r="AT62" s="27">
        <v>7</v>
      </c>
      <c r="AU62" s="82">
        <v>0.49</v>
      </c>
      <c r="AV62" s="86" t="s">
        <v>41</v>
      </c>
      <c r="AW62" s="28">
        <v>0</v>
      </c>
      <c r="AX62" s="29">
        <f>AVERAGE(O62:Q62)+0.25*MAX(0,(COUNT(U62,W62,Y62,AA62,AC62,AE62,AG62,AI62,AK62,AM62,AO62,AQ62)-3))+IF(AU62&gt;0.55,0.25,0)+IF(MAX(U62,W62,Y62,AA62,AC62,AE62,AG62,AI62,AK62,AM62,AO62,AQ62)&gt;5,0.25,0)</f>
        <v>3.9166666666666665</v>
      </c>
      <c r="AY62" s="30" t="str">
        <f>IF(AX62&gt;9,"SuperStar",IF(AX62&gt;8,"Star",IF(AX62&gt;6.5,"GoodReg",IF(AX62&gt;5,"Reg",IF(AX62&gt;4,"Bench","Minors")))))</f>
        <v>Minors</v>
      </c>
      <c r="AZ62" s="30">
        <f>AVERAGE(R62:T62)+0.25*MAX(0,(COUNT(V62,X62,Z62,AB62,AD62,AF62,AH62,AJ62,AL62,AN62,AP62,AR62)-3))+IF(AU62&gt;0.55,0.25,0)+IF(MAX(V62,X62,Z62,AB62,AD62,AF62,AH62,AJ62,AL62,AN62,AP62,AR62)&gt;5,0.25,0)</f>
        <v>3.9166666666666665</v>
      </c>
      <c r="BA62" s="30" t="str">
        <f>IF(AZ62&gt;9,"SuperStar",IF(AZ62&gt;8,"Star",IF(AZ62&gt;6.5,"GoodReg",IF(AZ62&gt;5,"Reg",IF(AZ62&gt;4,"Bench","Minors")))))</f>
        <v>Minors</v>
      </c>
      <c r="BB62" s="30">
        <f>MIN(AX62+(MAX(0,25-S62))^1.5,AZ62)</f>
        <v>3.9166666666666665</v>
      </c>
      <c r="BC62" s="30" t="str">
        <f>IF(BB62&gt;9,"SuperStar",IF(BB62&gt;8,"Star",IF(BB62&gt;6.5,"GoodReg",IF(BB62&gt;5,"Reg",IF(BB62&gt;4,"Bench","Minors")))))</f>
        <v>Minors</v>
      </c>
      <c r="BD62" s="108">
        <f>COUNT(U62:AR62)/2</f>
        <v>4</v>
      </c>
      <c r="BE62" s="109">
        <f>COUNTIF(U62:AR62,"&gt;5")/2</f>
        <v>0</v>
      </c>
      <c r="BF62" s="27" t="str">
        <f>IF(AW62=1,"Yes","")</f>
        <v/>
      </c>
      <c r="BG62" s="27" t="str">
        <f>IF(A62="ML","There",IF(AVERAGE($R62:$T62)&gt;=6,"Likely",IF(AVERAGE($R62:$T62)&gt;=4,"Possible","Unlikely")))</f>
        <v>Unlikely</v>
      </c>
      <c r="BH62" t="str">
        <f>IF(AVERAGE(O62:Q62)&gt;=5.5,"ML",IF(AVERAGE(O62:Q62)&gt;=4.5,"AAA",IF(AVERAGE(O62:Q62)&gt;=4,"AA",IF(AVERAGE(O62:Q62)&gt;=3.5,"A","SS-A"))))</f>
        <v>A</v>
      </c>
      <c r="BI62">
        <f>SUM(O62:Q62)</f>
        <v>11</v>
      </c>
      <c r="BJ62">
        <f>SUM(R62:T62)</f>
        <v>11</v>
      </c>
      <c r="BK62">
        <f>O62-R62</f>
        <v>0</v>
      </c>
      <c r="BL62">
        <f>P62-S62</f>
        <v>0</v>
      </c>
      <c r="BM62">
        <f>Q62-T62</f>
        <v>0</v>
      </c>
      <c r="BN62">
        <f>SUM(BK62:BM62)</f>
        <v>0</v>
      </c>
    </row>
    <row r="63" spans="1:66">
      <c r="A63" s="96" t="s">
        <v>327</v>
      </c>
      <c r="B63" t="s">
        <v>111</v>
      </c>
      <c r="C63" t="str">
        <f>IF(OR(OR(M63="Very High",M63="High"),AND(OR(M63="Very High",M63="High",M63="Normal"),OR(N63="Very High",N63="High"))),"K","T")</f>
        <v>K</v>
      </c>
      <c r="D63" s="27" t="s">
        <v>111</v>
      </c>
      <c r="E63" s="27" t="s">
        <v>514</v>
      </c>
      <c r="F63" s="27" t="s">
        <v>383</v>
      </c>
      <c r="G63" s="27" t="s">
        <v>327</v>
      </c>
      <c r="H63" s="27">
        <v>22</v>
      </c>
      <c r="I63" s="27" t="s">
        <v>107</v>
      </c>
      <c r="J63" s="28" t="s">
        <v>107</v>
      </c>
      <c r="K63" s="27" t="s">
        <v>47</v>
      </c>
      <c r="L63" s="27" t="s">
        <v>42</v>
      </c>
      <c r="M63" s="27" t="s">
        <v>229</v>
      </c>
      <c r="N63" s="28" t="s">
        <v>230</v>
      </c>
      <c r="O63" s="27">
        <v>6</v>
      </c>
      <c r="P63" s="27">
        <v>4</v>
      </c>
      <c r="Q63" s="28">
        <v>2</v>
      </c>
      <c r="R63" s="27">
        <v>6</v>
      </c>
      <c r="S63" s="27">
        <v>4</v>
      </c>
      <c r="T63" s="28">
        <v>4</v>
      </c>
      <c r="U63" s="27">
        <v>7</v>
      </c>
      <c r="V63" s="27">
        <v>7</v>
      </c>
      <c r="W63" s="27">
        <v>5</v>
      </c>
      <c r="X63" s="27">
        <v>5</v>
      </c>
      <c r="Y63" s="27" t="s">
        <v>41</v>
      </c>
      <c r="Z63" s="27" t="s">
        <v>41</v>
      </c>
      <c r="AA63" s="27" t="s">
        <v>41</v>
      </c>
      <c r="AB63" s="27" t="s">
        <v>41</v>
      </c>
      <c r="AC63" s="27" t="s">
        <v>41</v>
      </c>
      <c r="AD63" s="27" t="s">
        <v>41</v>
      </c>
      <c r="AE63" s="27">
        <v>5</v>
      </c>
      <c r="AF63" s="27">
        <v>5</v>
      </c>
      <c r="AG63" s="27" t="s">
        <v>41</v>
      </c>
      <c r="AH63" s="27" t="s">
        <v>41</v>
      </c>
      <c r="AI63" s="27">
        <v>6</v>
      </c>
      <c r="AJ63" s="27">
        <v>6</v>
      </c>
      <c r="AK63" s="27" t="s">
        <v>41</v>
      </c>
      <c r="AL63" s="27" t="s">
        <v>41</v>
      </c>
      <c r="AM63" s="27" t="s">
        <v>41</v>
      </c>
      <c r="AN63" s="27" t="s">
        <v>41</v>
      </c>
      <c r="AO63" s="27" t="s">
        <v>41</v>
      </c>
      <c r="AP63" s="27" t="s">
        <v>41</v>
      </c>
      <c r="AQ63" s="27" t="s">
        <v>41</v>
      </c>
      <c r="AR63" s="28" t="s">
        <v>41</v>
      </c>
      <c r="AS63" s="27" t="s">
        <v>14</v>
      </c>
      <c r="AT63" s="27">
        <v>6</v>
      </c>
      <c r="AU63" s="82">
        <v>0.54</v>
      </c>
      <c r="AV63" s="86" t="s">
        <v>41</v>
      </c>
      <c r="AW63" s="28">
        <v>0</v>
      </c>
      <c r="AX63" s="29">
        <f>AVERAGE(O63:Q63)+0.25*MAX(0,(COUNT(U63,W63,Y63,AA63,AC63,AE63,AG63,AI63,AK63,AM63,AO63,AQ63)-3))+IF(AU63&gt;0.55,0.25,0)+IF(MAX(U63,W63,Y63,AA63,AC63,AE63,AG63,AI63,AK63,AM63,AO63,AQ63)&gt;5,0.25,0)</f>
        <v>4.5</v>
      </c>
      <c r="AY63" s="30" t="str">
        <f>IF(AX63&gt;9,"SuperStar",IF(AX63&gt;8,"Star",IF(AX63&gt;6.5,"GoodReg",IF(AX63&gt;5,"Reg",IF(AX63&gt;4,"Bench","Minors")))))</f>
        <v>Bench</v>
      </c>
      <c r="AZ63" s="30">
        <f>AVERAGE(R63:T63)+0.25*MAX(0,(COUNT(V63,X63,Z63,AB63,AD63,AF63,AH63,AJ63,AL63,AN63,AP63,AR63)-3))+IF(AU63&gt;0.55,0.25,0)+IF(MAX(V63,X63,Z63,AB63,AD63,AF63,AH63,AJ63,AL63,AN63,AP63,AR63)&gt;5,0.25,0)</f>
        <v>5.166666666666667</v>
      </c>
      <c r="BA63" s="30" t="str">
        <f>IF(AZ63&gt;9,"SuperStar",IF(AZ63&gt;8,"Star",IF(AZ63&gt;6.5,"GoodReg",IF(AZ63&gt;5,"Reg",IF(AZ63&gt;4,"Bench","Minors")))))</f>
        <v>Reg</v>
      </c>
      <c r="BB63" s="30">
        <f>MIN(AX63+(MAX(0,25-S63))^1.5,AZ63)</f>
        <v>5.166666666666667</v>
      </c>
      <c r="BC63" s="30" t="str">
        <f>IF(BB63&gt;9,"SuperStar",IF(BB63&gt;8,"Star",IF(BB63&gt;6.5,"GoodReg",IF(BB63&gt;5,"Reg",IF(BB63&gt;4,"Bench","Minors")))))</f>
        <v>Reg</v>
      </c>
      <c r="BD63" s="108">
        <f>COUNT(U63:AR63)/2</f>
        <v>4</v>
      </c>
      <c r="BE63" s="109">
        <f>COUNTIF(U63:AR63,"&gt;5")/2</f>
        <v>2</v>
      </c>
      <c r="BF63" s="27" t="str">
        <f>IF(AW63=1,"Yes","")</f>
        <v/>
      </c>
      <c r="BG63" s="27" t="str">
        <f>IF(A63="ML","There",IF(AVERAGE($R63:$T63)&gt;=6,"Likely",IF(AVERAGE($R63:$T63)&gt;=4,"Possible","Unlikely")))</f>
        <v>Possible</v>
      </c>
      <c r="BH63" t="str">
        <f>IF(AVERAGE(O63:Q63)&gt;=5.5,"ML",IF(AVERAGE(O63:Q63)&gt;=4.5,"AAA",IF(AVERAGE(O63:Q63)&gt;=4,"AA",IF(AVERAGE(O63:Q63)&gt;=3.5,"A","SS-A"))))</f>
        <v>AA</v>
      </c>
      <c r="BI63">
        <f>SUM(O63:Q63)</f>
        <v>12</v>
      </c>
      <c r="BJ63">
        <f>SUM(R63:T63)</f>
        <v>14</v>
      </c>
      <c r="BK63">
        <f>O63-R63</f>
        <v>0</v>
      </c>
      <c r="BL63">
        <f>P63-S63</f>
        <v>0</v>
      </c>
      <c r="BM63">
        <f>Q63-T63</f>
        <v>-2</v>
      </c>
      <c r="BN63">
        <f>SUM(BK63:BM63)</f>
        <v>-2</v>
      </c>
    </row>
    <row r="64" spans="1:66">
      <c r="A64" s="96" t="s">
        <v>327</v>
      </c>
      <c r="B64" t="s">
        <v>111</v>
      </c>
      <c r="C64" t="str">
        <f>IF(OR(OR(M64="Very High",M64="High"),AND(OR(M64="Very High",M64="High",M64="Normal"),OR(N64="Very High",N64="High"))),"K","T")</f>
        <v>T</v>
      </c>
      <c r="D64" s="27" t="s">
        <v>110</v>
      </c>
      <c r="E64" s="27" t="s">
        <v>413</v>
      </c>
      <c r="F64" s="27" t="s">
        <v>383</v>
      </c>
      <c r="G64" s="27" t="s">
        <v>327</v>
      </c>
      <c r="H64" s="27">
        <v>20</v>
      </c>
      <c r="I64" s="27" t="s">
        <v>106</v>
      </c>
      <c r="J64" s="28" t="s">
        <v>106</v>
      </c>
      <c r="K64" s="27" t="s">
        <v>47</v>
      </c>
      <c r="L64" s="27" t="s">
        <v>42</v>
      </c>
      <c r="M64" s="27" t="s">
        <v>230</v>
      </c>
      <c r="N64" s="28" t="s">
        <v>230</v>
      </c>
      <c r="O64" s="27">
        <v>5</v>
      </c>
      <c r="P64" s="27">
        <v>3</v>
      </c>
      <c r="Q64" s="28">
        <v>3</v>
      </c>
      <c r="R64" s="27">
        <v>5</v>
      </c>
      <c r="S64" s="27">
        <v>4</v>
      </c>
      <c r="T64" s="28">
        <v>6</v>
      </c>
      <c r="U64" s="27">
        <v>6</v>
      </c>
      <c r="V64" s="27">
        <v>6</v>
      </c>
      <c r="W64" s="27">
        <v>5</v>
      </c>
      <c r="X64" s="27">
        <v>5</v>
      </c>
      <c r="Y64" s="27">
        <v>4</v>
      </c>
      <c r="Z64" s="27">
        <v>4</v>
      </c>
      <c r="AA64" s="27" t="s">
        <v>41</v>
      </c>
      <c r="AB64" s="27" t="s">
        <v>41</v>
      </c>
      <c r="AC64" s="27" t="s">
        <v>41</v>
      </c>
      <c r="AD64" s="27" t="s">
        <v>41</v>
      </c>
      <c r="AE64" s="27">
        <v>5</v>
      </c>
      <c r="AF64" s="27">
        <v>5</v>
      </c>
      <c r="AG64" s="27" t="s">
        <v>41</v>
      </c>
      <c r="AH64" s="27" t="s">
        <v>41</v>
      </c>
      <c r="AI64" s="27">
        <v>5</v>
      </c>
      <c r="AJ64" s="27">
        <v>5</v>
      </c>
      <c r="AK64" s="27" t="s">
        <v>41</v>
      </c>
      <c r="AL64" s="27" t="s">
        <v>41</v>
      </c>
      <c r="AM64" s="27" t="s">
        <v>41</v>
      </c>
      <c r="AN64" s="27" t="s">
        <v>41</v>
      </c>
      <c r="AO64" s="27" t="s">
        <v>41</v>
      </c>
      <c r="AP64" s="27" t="s">
        <v>41</v>
      </c>
      <c r="AQ64" s="27" t="s">
        <v>41</v>
      </c>
      <c r="AR64" s="28" t="s">
        <v>41</v>
      </c>
      <c r="AS64" s="27" t="s">
        <v>15</v>
      </c>
      <c r="AT64" s="27">
        <v>7</v>
      </c>
      <c r="AU64" s="82">
        <v>0.34</v>
      </c>
      <c r="AV64" s="86" t="s">
        <v>41</v>
      </c>
      <c r="AW64" s="28">
        <v>0</v>
      </c>
      <c r="AX64" s="29">
        <f>AVERAGE(O64:Q64)+0.25*MAX(0,(COUNT(U64,W64,Y64,AA64,AC64,AE64,AG64,AI64,AK64,AM64,AO64,AQ64)-3))+IF(AU64&gt;0.55,0.25,0)+IF(MAX(U64,W64,Y64,AA64,AC64,AE64,AG64,AI64,AK64,AM64,AO64,AQ64)&gt;5,0.25,0)</f>
        <v>4.4166666666666661</v>
      </c>
      <c r="AY64" s="30" t="str">
        <f>IF(AX64&gt;9,"SuperStar",IF(AX64&gt;8,"Star",IF(AX64&gt;6.5,"GoodReg",IF(AX64&gt;5,"Reg",IF(AX64&gt;4,"Bench","Minors")))))</f>
        <v>Bench</v>
      </c>
      <c r="AZ64" s="30">
        <f>AVERAGE(R64:T64)+0.25*MAX(0,(COUNT(V64,X64,Z64,AB64,AD64,AF64,AH64,AJ64,AL64,AN64,AP64,AR64)-3))+IF(AU64&gt;0.55,0.25,0)+IF(MAX(V64,X64,Z64,AB64,AD64,AF64,AH64,AJ64,AL64,AN64,AP64,AR64)&gt;5,0.25,0)</f>
        <v>5.75</v>
      </c>
      <c r="BA64" s="30" t="str">
        <f>IF(AZ64&gt;9,"SuperStar",IF(AZ64&gt;8,"Star",IF(AZ64&gt;6.5,"GoodReg",IF(AZ64&gt;5,"Reg",IF(AZ64&gt;4,"Bench","Minors")))))</f>
        <v>Reg</v>
      </c>
      <c r="BB64" s="30">
        <f>MIN(AX64+(MAX(0,25-S64))^1.5,AZ64)</f>
        <v>5.75</v>
      </c>
      <c r="BC64" s="30" t="str">
        <f>IF(BB64&gt;9,"SuperStar",IF(BB64&gt;8,"Star",IF(BB64&gt;6.5,"GoodReg",IF(BB64&gt;5,"Reg",IF(BB64&gt;4,"Bench","Minors")))))</f>
        <v>Reg</v>
      </c>
      <c r="BD64" s="108">
        <f>COUNT(U64:AR64)/2</f>
        <v>5</v>
      </c>
      <c r="BE64" s="109">
        <f>COUNTIF(U64:AR64,"&gt;5")/2</f>
        <v>1</v>
      </c>
      <c r="BF64" s="27" t="str">
        <f>IF(AW64=1,"Yes","")</f>
        <v/>
      </c>
      <c r="BG64" s="27" t="str">
        <f>IF(A64="ML","There",IF(AVERAGE($R64:$T64)&gt;=6,"Likely",IF(AVERAGE($R64:$T64)&gt;=4,"Possible","Unlikely")))</f>
        <v>Possible</v>
      </c>
      <c r="BH64" t="str">
        <f>IF(AVERAGE(O64:Q64)&gt;=5.5,"ML",IF(AVERAGE(O64:Q64)&gt;=4.5,"AAA",IF(AVERAGE(O64:Q64)&gt;=4,"AA",IF(AVERAGE(O64:Q64)&gt;=3.5,"A","SS-A"))))</f>
        <v>A</v>
      </c>
      <c r="BI64">
        <f>SUM(O64:Q64)</f>
        <v>11</v>
      </c>
      <c r="BJ64">
        <f>SUM(R64:T64)</f>
        <v>15</v>
      </c>
      <c r="BK64">
        <f>O64-R64</f>
        <v>0</v>
      </c>
      <c r="BL64">
        <f>P64-S64</f>
        <v>-1</v>
      </c>
      <c r="BM64">
        <f>Q64-T64</f>
        <v>-3</v>
      </c>
      <c r="BN64">
        <f>SUM(BK64:BM64)</f>
        <v>-4</v>
      </c>
    </row>
    <row r="65" spans="1:66">
      <c r="A65" s="96" t="s">
        <v>327</v>
      </c>
      <c r="B65" t="s">
        <v>111</v>
      </c>
      <c r="C65" t="str">
        <f>IF(OR(OR(M65="Very High",M65="High"),AND(OR(M65="Very High",M65="High",M65="Normal"),OR(N65="Very High",N65="High"))),"K","T")</f>
        <v>T</v>
      </c>
      <c r="D65" s="27" t="s">
        <v>111</v>
      </c>
      <c r="E65" s="27" t="s">
        <v>409</v>
      </c>
      <c r="F65" s="27" t="s">
        <v>383</v>
      </c>
      <c r="G65" s="27" t="s">
        <v>327</v>
      </c>
      <c r="H65" s="27">
        <v>21</v>
      </c>
      <c r="I65" s="27" t="s">
        <v>107</v>
      </c>
      <c r="J65" s="28" t="s">
        <v>107</v>
      </c>
      <c r="K65" s="27" t="s">
        <v>47</v>
      </c>
      <c r="L65" s="27" t="s">
        <v>47</v>
      </c>
      <c r="M65" s="27" t="s">
        <v>231</v>
      </c>
      <c r="N65" s="28" t="s">
        <v>230</v>
      </c>
      <c r="O65" s="27">
        <v>5</v>
      </c>
      <c r="P65" s="27">
        <v>3</v>
      </c>
      <c r="Q65" s="28">
        <v>3</v>
      </c>
      <c r="R65" s="27">
        <v>5</v>
      </c>
      <c r="S65" s="27">
        <v>3</v>
      </c>
      <c r="T65" s="28">
        <v>5</v>
      </c>
      <c r="U65" s="27">
        <v>6</v>
      </c>
      <c r="V65" s="27">
        <v>6</v>
      </c>
      <c r="W65" s="27">
        <v>4</v>
      </c>
      <c r="X65" s="27">
        <v>4</v>
      </c>
      <c r="Y65" s="27">
        <v>2</v>
      </c>
      <c r="Z65" s="27">
        <v>3</v>
      </c>
      <c r="AA65" s="27" t="s">
        <v>41</v>
      </c>
      <c r="AB65" s="27" t="s">
        <v>41</v>
      </c>
      <c r="AC65" s="27" t="s">
        <v>41</v>
      </c>
      <c r="AD65" s="27" t="s">
        <v>41</v>
      </c>
      <c r="AE65" s="27">
        <v>5</v>
      </c>
      <c r="AF65" s="27">
        <v>5</v>
      </c>
      <c r="AG65" s="27" t="s">
        <v>41</v>
      </c>
      <c r="AH65" s="27" t="s">
        <v>41</v>
      </c>
      <c r="AI65" s="27">
        <v>5</v>
      </c>
      <c r="AJ65" s="27">
        <v>5</v>
      </c>
      <c r="AK65" s="27" t="s">
        <v>41</v>
      </c>
      <c r="AL65" s="27" t="s">
        <v>41</v>
      </c>
      <c r="AM65" s="27" t="s">
        <v>41</v>
      </c>
      <c r="AN65" s="27" t="s">
        <v>41</v>
      </c>
      <c r="AO65" s="27" t="s">
        <v>41</v>
      </c>
      <c r="AP65" s="27" t="s">
        <v>41</v>
      </c>
      <c r="AQ65" s="27" t="s">
        <v>41</v>
      </c>
      <c r="AR65" s="28" t="s">
        <v>41</v>
      </c>
      <c r="AS65" s="27" t="s">
        <v>252</v>
      </c>
      <c r="AT65" s="27">
        <v>9</v>
      </c>
      <c r="AU65" s="82">
        <v>0.36</v>
      </c>
      <c r="AV65" s="86" t="s">
        <v>41</v>
      </c>
      <c r="AW65" s="28">
        <v>0</v>
      </c>
      <c r="AX65" s="29">
        <f>AVERAGE(O65:Q65)+0.25*MAX(0,(COUNT(U65,W65,Y65,AA65,AC65,AE65,AG65,AI65,AK65,AM65,AO65,AQ65)-3))+IF(AU65&gt;0.55,0.25,0)+IF(MAX(U65,W65,Y65,AA65,AC65,AE65,AG65,AI65,AK65,AM65,AO65,AQ65)&gt;5,0.25,0)</f>
        <v>4.4166666666666661</v>
      </c>
      <c r="AY65" s="30" t="str">
        <f>IF(AX65&gt;9,"SuperStar",IF(AX65&gt;8,"Star",IF(AX65&gt;6.5,"GoodReg",IF(AX65&gt;5,"Reg",IF(AX65&gt;4,"Bench","Minors")))))</f>
        <v>Bench</v>
      </c>
      <c r="AZ65" s="30">
        <f>AVERAGE(R65:T65)+0.25*MAX(0,(COUNT(V65,X65,Z65,AB65,AD65,AF65,AH65,AJ65,AL65,AN65,AP65,AR65)-3))+IF(AU65&gt;0.55,0.25,0)+IF(MAX(V65,X65,Z65,AB65,AD65,AF65,AH65,AJ65,AL65,AN65,AP65,AR65)&gt;5,0.25,0)</f>
        <v>5.083333333333333</v>
      </c>
      <c r="BA65" s="30" t="str">
        <f>IF(AZ65&gt;9,"SuperStar",IF(AZ65&gt;8,"Star",IF(AZ65&gt;6.5,"GoodReg",IF(AZ65&gt;5,"Reg",IF(AZ65&gt;4,"Bench","Minors")))))</f>
        <v>Reg</v>
      </c>
      <c r="BB65" s="30">
        <f>MIN(AX65+(MAX(0,25-S65))^1.5,AZ65)</f>
        <v>5.083333333333333</v>
      </c>
      <c r="BC65" s="30" t="str">
        <f>IF(BB65&gt;9,"SuperStar",IF(BB65&gt;8,"Star",IF(BB65&gt;6.5,"GoodReg",IF(BB65&gt;5,"Reg",IF(BB65&gt;4,"Bench","Minors")))))</f>
        <v>Reg</v>
      </c>
      <c r="BD65" s="108">
        <f>COUNT(U65:AR65)/2</f>
        <v>5</v>
      </c>
      <c r="BE65" s="109">
        <f>COUNTIF(U65:AR65,"&gt;5")/2</f>
        <v>1</v>
      </c>
      <c r="BF65" s="27" t="str">
        <f>IF(AW65=1,"Yes","")</f>
        <v/>
      </c>
      <c r="BG65" s="27" t="str">
        <f>IF(A65="ML","There",IF(AVERAGE($R65:$T65)&gt;=6,"Likely",IF(AVERAGE($R65:$T65)&gt;=4,"Possible","Unlikely")))</f>
        <v>Possible</v>
      </c>
      <c r="BH65" t="str">
        <f>IF(AVERAGE(O65:Q65)&gt;=5.5,"ML",IF(AVERAGE(O65:Q65)&gt;=4.5,"AAA",IF(AVERAGE(O65:Q65)&gt;=4,"AA",IF(AVERAGE(O65:Q65)&gt;=3.5,"A","SS-A"))))</f>
        <v>A</v>
      </c>
      <c r="BI65">
        <f>SUM(O65:Q65)</f>
        <v>11</v>
      </c>
      <c r="BJ65">
        <f>SUM(R65:T65)</f>
        <v>13</v>
      </c>
      <c r="BK65">
        <f>O65-R65</f>
        <v>0</v>
      </c>
      <c r="BL65">
        <f>P65-S65</f>
        <v>0</v>
      </c>
      <c r="BM65">
        <f>Q65-T65</f>
        <v>-2</v>
      </c>
      <c r="BN65">
        <f>SUM(BK65:BM65)</f>
        <v>-2</v>
      </c>
    </row>
    <row r="66" spans="1:66">
      <c r="A66" s="96" t="s">
        <v>327</v>
      </c>
      <c r="B66" t="s">
        <v>111</v>
      </c>
      <c r="C66" t="str">
        <f>IF(OR(OR(M66="Very High",M66="High"),AND(OR(M66="Very High",M66="High",M66="Normal"),OR(N66="Very High",N66="High"))),"K","T")</f>
        <v>K</v>
      </c>
      <c r="D66" s="27" t="s">
        <v>111</v>
      </c>
      <c r="E66" s="27" t="s">
        <v>638</v>
      </c>
      <c r="F66" s="27" t="s">
        <v>383</v>
      </c>
      <c r="G66" s="27" t="s">
        <v>327</v>
      </c>
      <c r="H66" s="27">
        <v>22</v>
      </c>
      <c r="I66" s="27" t="s">
        <v>107</v>
      </c>
      <c r="J66" s="28" t="s">
        <v>107</v>
      </c>
      <c r="K66" s="27" t="s">
        <v>47</v>
      </c>
      <c r="L66" s="27" t="s">
        <v>42</v>
      </c>
      <c r="M66" s="27" t="s">
        <v>228</v>
      </c>
      <c r="N66" s="28" t="s">
        <v>229</v>
      </c>
      <c r="O66" s="27">
        <v>5</v>
      </c>
      <c r="P66" s="27">
        <v>3</v>
      </c>
      <c r="Q66" s="28">
        <v>2</v>
      </c>
      <c r="R66" s="27">
        <v>6</v>
      </c>
      <c r="S66" s="27">
        <v>3</v>
      </c>
      <c r="T66" s="28">
        <v>6</v>
      </c>
      <c r="U66" s="27">
        <v>7</v>
      </c>
      <c r="V66" s="27">
        <v>7</v>
      </c>
      <c r="W66" s="27">
        <v>4</v>
      </c>
      <c r="X66" s="27">
        <v>5</v>
      </c>
      <c r="Y66" s="27">
        <v>6</v>
      </c>
      <c r="Z66" s="27">
        <v>6</v>
      </c>
      <c r="AA66" s="27">
        <v>4</v>
      </c>
      <c r="AB66" s="27">
        <v>4</v>
      </c>
      <c r="AC66" s="27" t="s">
        <v>41</v>
      </c>
      <c r="AD66" s="27" t="s">
        <v>41</v>
      </c>
      <c r="AE66" s="27" t="s">
        <v>41</v>
      </c>
      <c r="AF66" s="27" t="s">
        <v>41</v>
      </c>
      <c r="AG66" s="27" t="s">
        <v>41</v>
      </c>
      <c r="AH66" s="27" t="s">
        <v>41</v>
      </c>
      <c r="AI66" s="27" t="s">
        <v>41</v>
      </c>
      <c r="AJ66" s="27" t="s">
        <v>41</v>
      </c>
      <c r="AK66" s="27" t="s">
        <v>41</v>
      </c>
      <c r="AL66" s="27" t="s">
        <v>41</v>
      </c>
      <c r="AM66" s="27" t="s">
        <v>41</v>
      </c>
      <c r="AN66" s="27" t="s">
        <v>41</v>
      </c>
      <c r="AO66" s="27" t="s">
        <v>41</v>
      </c>
      <c r="AP66" s="27" t="s">
        <v>41</v>
      </c>
      <c r="AQ66" s="27" t="s">
        <v>41</v>
      </c>
      <c r="AR66" s="28" t="s">
        <v>41</v>
      </c>
      <c r="AS66" s="27" t="s">
        <v>456</v>
      </c>
      <c r="AT66" s="27">
        <v>9</v>
      </c>
      <c r="AU66" s="82">
        <v>0.37</v>
      </c>
      <c r="AV66" s="86" t="s">
        <v>41</v>
      </c>
      <c r="AW66" s="28">
        <v>0</v>
      </c>
      <c r="AX66" s="29">
        <f>AVERAGE(O66:Q66)+0.25*MAX(0,(COUNT(U66,W66,Y66,AA66,AC66,AE66,AG66,AI66,AK66,AM66,AO66,AQ66)-3))+IF(AU66&gt;0.55,0.25,0)+IF(MAX(U66,W66,Y66,AA66,AC66,AE66,AG66,AI66,AK66,AM66,AO66,AQ66)&gt;5,0.25,0)</f>
        <v>3.8333333333333335</v>
      </c>
      <c r="AY66" s="30" t="str">
        <f>IF(AX66&gt;9,"SuperStar",IF(AX66&gt;8,"Star",IF(AX66&gt;6.5,"GoodReg",IF(AX66&gt;5,"Reg",IF(AX66&gt;4,"Bench","Minors")))))</f>
        <v>Minors</v>
      </c>
      <c r="AZ66" s="30">
        <f>AVERAGE(R66:T66)+0.25*MAX(0,(COUNT(V66,X66,Z66,AB66,AD66,AF66,AH66,AJ66,AL66,AN66,AP66,AR66)-3))+IF(AU66&gt;0.55,0.25,0)+IF(MAX(V66,X66,Z66,AB66,AD66,AF66,AH66,AJ66,AL66,AN66,AP66,AR66)&gt;5,0.25,0)</f>
        <v>5.5</v>
      </c>
      <c r="BA66" s="30" t="str">
        <f>IF(AZ66&gt;9,"SuperStar",IF(AZ66&gt;8,"Star",IF(AZ66&gt;6.5,"GoodReg",IF(AZ66&gt;5,"Reg",IF(AZ66&gt;4,"Bench","Minors")))))</f>
        <v>Reg</v>
      </c>
      <c r="BB66" s="30">
        <f>MIN(AX66+(MAX(0,25-S66))^1.5,AZ66)</f>
        <v>5.5</v>
      </c>
      <c r="BC66" s="30" t="str">
        <f>IF(BB66&gt;9,"SuperStar",IF(BB66&gt;8,"Star",IF(BB66&gt;6.5,"GoodReg",IF(BB66&gt;5,"Reg",IF(BB66&gt;4,"Bench","Minors")))))</f>
        <v>Reg</v>
      </c>
      <c r="BD66" s="108">
        <f>COUNT(U66:AR66)/2</f>
        <v>4</v>
      </c>
      <c r="BE66" s="109">
        <f>COUNTIF(U66:AR66,"&gt;5")/2</f>
        <v>2</v>
      </c>
      <c r="BF66" s="27" t="str">
        <f>IF(AW66=1,"Yes","")</f>
        <v/>
      </c>
      <c r="BG66" s="27" t="str">
        <f>IF(A66="ML","There",IF(AVERAGE($R66:$T66)&gt;=6,"Likely",IF(AVERAGE($R66:$T66)&gt;=4,"Possible","Unlikely")))</f>
        <v>Possible</v>
      </c>
      <c r="BH66" t="str">
        <f>IF(AVERAGE(O66:Q66)&gt;=5.5,"ML",IF(AVERAGE(O66:Q66)&gt;=4.5,"AAA",IF(AVERAGE(O66:Q66)&gt;=4,"AA",IF(AVERAGE(O66:Q66)&gt;=3.5,"A","SS-A"))))</f>
        <v>SS-A</v>
      </c>
      <c r="BI66">
        <f>SUM(O66:Q66)</f>
        <v>10</v>
      </c>
      <c r="BJ66">
        <f>SUM(R66:T66)</f>
        <v>15</v>
      </c>
      <c r="BK66">
        <f>O66-R66</f>
        <v>-1</v>
      </c>
      <c r="BL66">
        <f>P66-S66</f>
        <v>0</v>
      </c>
      <c r="BM66">
        <f>Q66-T66</f>
        <v>-4</v>
      </c>
      <c r="BN66">
        <f>SUM(BK66:BM66)</f>
        <v>-5</v>
      </c>
    </row>
    <row r="67" spans="1:66">
      <c r="A67" s="96" t="s">
        <v>327</v>
      </c>
      <c r="B67" t="s">
        <v>111</v>
      </c>
      <c r="C67" t="str">
        <f>IF(OR(OR(M67="Very High",M67="High"),AND(OR(M67="Very High",M67="High",M67="Normal"),OR(N67="Very High",N67="High"))),"K","T")</f>
        <v>T</v>
      </c>
      <c r="D67" s="27" t="s">
        <v>111</v>
      </c>
      <c r="E67" s="27" t="s">
        <v>410</v>
      </c>
      <c r="F67" s="27" t="s">
        <v>383</v>
      </c>
      <c r="G67" s="27" t="s">
        <v>327</v>
      </c>
      <c r="H67" s="27">
        <v>21</v>
      </c>
      <c r="I67" s="27" t="s">
        <v>107</v>
      </c>
      <c r="J67" s="28" t="s">
        <v>107</v>
      </c>
      <c r="K67" s="27" t="s">
        <v>47</v>
      </c>
      <c r="L67" s="27" t="s">
        <v>47</v>
      </c>
      <c r="M67" s="27" t="s">
        <v>232</v>
      </c>
      <c r="N67" s="28" t="s">
        <v>228</v>
      </c>
      <c r="O67" s="27">
        <v>3</v>
      </c>
      <c r="P67" s="27">
        <v>3</v>
      </c>
      <c r="Q67" s="28">
        <v>4</v>
      </c>
      <c r="R67" s="27">
        <v>3</v>
      </c>
      <c r="S67" s="27">
        <v>4</v>
      </c>
      <c r="T67" s="28">
        <v>6</v>
      </c>
      <c r="U67" s="27">
        <v>4</v>
      </c>
      <c r="V67" s="27">
        <v>5</v>
      </c>
      <c r="W67" s="27">
        <v>2</v>
      </c>
      <c r="X67" s="27">
        <v>3</v>
      </c>
      <c r="Y67" s="27" t="s">
        <v>41</v>
      </c>
      <c r="Z67" s="27" t="s">
        <v>41</v>
      </c>
      <c r="AA67" s="27">
        <v>3</v>
      </c>
      <c r="AB67" s="27">
        <v>4</v>
      </c>
      <c r="AC67" s="27" t="s">
        <v>41</v>
      </c>
      <c r="AD67" s="27" t="s">
        <v>41</v>
      </c>
      <c r="AE67" s="27">
        <v>4</v>
      </c>
      <c r="AF67" s="27">
        <v>4</v>
      </c>
      <c r="AG67" s="27" t="s">
        <v>41</v>
      </c>
      <c r="AH67" s="27" t="s">
        <v>41</v>
      </c>
      <c r="AI67" s="27" t="s">
        <v>41</v>
      </c>
      <c r="AJ67" s="27" t="s">
        <v>41</v>
      </c>
      <c r="AK67" s="27" t="s">
        <v>41</v>
      </c>
      <c r="AL67" s="27" t="s">
        <v>41</v>
      </c>
      <c r="AM67" s="27" t="s">
        <v>41</v>
      </c>
      <c r="AN67" s="27" t="s">
        <v>41</v>
      </c>
      <c r="AO67" s="27" t="s">
        <v>41</v>
      </c>
      <c r="AP67" s="27" t="s">
        <v>41</v>
      </c>
      <c r="AQ67" s="27" t="s">
        <v>41</v>
      </c>
      <c r="AR67" s="28" t="s">
        <v>41</v>
      </c>
      <c r="AS67" s="27" t="s">
        <v>6</v>
      </c>
      <c r="AT67" s="27">
        <v>9</v>
      </c>
      <c r="AU67" s="82">
        <v>0.4</v>
      </c>
      <c r="AV67" s="86" t="s">
        <v>41</v>
      </c>
      <c r="AW67" s="28">
        <v>0</v>
      </c>
      <c r="AX67" s="29">
        <f>AVERAGE(O67:Q67)+0.25*MAX(0,(COUNT(U67,W67,Y67,AA67,AC67,AE67,AG67,AI67,AK67,AM67,AO67,AQ67)-3))+IF(AU67&gt;0.55,0.25,0)+IF(MAX(U67,W67,Y67,AA67,AC67,AE67,AG67,AI67,AK67,AM67,AO67,AQ67)&gt;5,0.25,0)</f>
        <v>3.5833333333333335</v>
      </c>
      <c r="AY67" s="30" t="str">
        <f>IF(AX67&gt;9,"SuperStar",IF(AX67&gt;8,"Star",IF(AX67&gt;6.5,"GoodReg",IF(AX67&gt;5,"Reg",IF(AX67&gt;4,"Bench","Minors")))))</f>
        <v>Minors</v>
      </c>
      <c r="AZ67" s="30">
        <f>AVERAGE(R67:T67)+0.25*MAX(0,(COUNT(V67,X67,Z67,AB67,AD67,AF67,AH67,AJ67,AL67,AN67,AP67,AR67)-3))+IF(AU67&gt;0.55,0.25,0)+IF(MAX(V67,X67,Z67,AB67,AD67,AF67,AH67,AJ67,AL67,AN67,AP67,AR67)&gt;5,0.25,0)</f>
        <v>4.583333333333333</v>
      </c>
      <c r="BA67" s="30" t="str">
        <f>IF(AZ67&gt;9,"SuperStar",IF(AZ67&gt;8,"Star",IF(AZ67&gt;6.5,"GoodReg",IF(AZ67&gt;5,"Reg",IF(AZ67&gt;4,"Bench","Minors")))))</f>
        <v>Bench</v>
      </c>
      <c r="BB67" s="30">
        <f>MIN(AX67+(MAX(0,25-S67))^1.5,AZ67)</f>
        <v>4.583333333333333</v>
      </c>
      <c r="BC67" s="30" t="str">
        <f>IF(BB67&gt;9,"SuperStar",IF(BB67&gt;8,"Star",IF(BB67&gt;6.5,"GoodReg",IF(BB67&gt;5,"Reg",IF(BB67&gt;4,"Bench","Minors")))))</f>
        <v>Bench</v>
      </c>
      <c r="BD67" s="108">
        <f>COUNT(U67:AR67)/2</f>
        <v>4</v>
      </c>
      <c r="BE67" s="109">
        <f>COUNTIF(U67:AR67,"&gt;5")/2</f>
        <v>0</v>
      </c>
      <c r="BF67" s="27" t="str">
        <f>IF(AW67=1,"Yes","")</f>
        <v/>
      </c>
      <c r="BG67" s="27" t="str">
        <f>IF(A67="ML","There",IF(AVERAGE($R67:$T67)&gt;=6,"Likely",IF(AVERAGE($R67:$T67)&gt;=4,"Possible","Unlikely")))</f>
        <v>Possible</v>
      </c>
      <c r="BH67" t="str">
        <f>IF(AVERAGE(O67:Q67)&gt;=5.5,"ML",IF(AVERAGE(O67:Q67)&gt;=4.5,"AAA",IF(AVERAGE(O67:Q67)&gt;=4,"AA",IF(AVERAGE(O67:Q67)&gt;=3.5,"A","SS-A"))))</f>
        <v>SS-A</v>
      </c>
      <c r="BI67">
        <f>SUM(O67:Q67)</f>
        <v>10</v>
      </c>
      <c r="BJ67">
        <f>SUM(R67:T67)</f>
        <v>13</v>
      </c>
      <c r="BK67">
        <f>O67-R67</f>
        <v>0</v>
      </c>
      <c r="BL67">
        <f>P67-S67</f>
        <v>-1</v>
      </c>
      <c r="BM67">
        <f>Q67-T67</f>
        <v>-2</v>
      </c>
      <c r="BN67">
        <f>SUM(BK67:BM67)</f>
        <v>-3</v>
      </c>
    </row>
    <row r="68" spans="1:66">
      <c r="A68" s="96" t="s">
        <v>327</v>
      </c>
      <c r="B68" t="s">
        <v>111</v>
      </c>
      <c r="C68" t="str">
        <f>IF(OR(OR(M68="Very High",M68="High"),AND(OR(M68="Very High",M68="High",M68="Normal"),OR(N68="Very High",N68="High"))),"K","T")</f>
        <v>T</v>
      </c>
      <c r="D68" s="27" t="s">
        <v>110</v>
      </c>
      <c r="E68" s="27" t="s">
        <v>435</v>
      </c>
      <c r="F68" s="27" t="s">
        <v>383</v>
      </c>
      <c r="G68" s="27" t="s">
        <v>327</v>
      </c>
      <c r="H68" s="27">
        <v>20</v>
      </c>
      <c r="I68" s="27" t="s">
        <v>106</v>
      </c>
      <c r="J68" s="28" t="s">
        <v>106</v>
      </c>
      <c r="K68" s="27" t="s">
        <v>47</v>
      </c>
      <c r="L68" s="27" t="s">
        <v>47</v>
      </c>
      <c r="M68" s="27" t="s">
        <v>232</v>
      </c>
      <c r="N68" s="28" t="s">
        <v>228</v>
      </c>
      <c r="O68" s="27">
        <v>6</v>
      </c>
      <c r="P68" s="27">
        <v>3</v>
      </c>
      <c r="Q68" s="28">
        <v>1</v>
      </c>
      <c r="R68" s="27">
        <v>6</v>
      </c>
      <c r="S68" s="27">
        <v>3</v>
      </c>
      <c r="T68" s="28">
        <v>2</v>
      </c>
      <c r="U68" s="27">
        <v>6</v>
      </c>
      <c r="V68" s="27">
        <v>7</v>
      </c>
      <c r="W68" s="27">
        <v>1</v>
      </c>
      <c r="X68" s="27">
        <v>1</v>
      </c>
      <c r="Y68" s="27">
        <v>4</v>
      </c>
      <c r="Z68" s="27">
        <v>5</v>
      </c>
      <c r="AA68" s="27" t="s">
        <v>41</v>
      </c>
      <c r="AB68" s="27" t="s">
        <v>41</v>
      </c>
      <c r="AC68" s="27" t="s">
        <v>41</v>
      </c>
      <c r="AD68" s="27" t="s">
        <v>41</v>
      </c>
      <c r="AE68" s="27" t="s">
        <v>41</v>
      </c>
      <c r="AF68" s="27" t="s">
        <v>41</v>
      </c>
      <c r="AG68" s="27" t="s">
        <v>41</v>
      </c>
      <c r="AH68" s="27" t="s">
        <v>41</v>
      </c>
      <c r="AI68" s="27" t="s">
        <v>41</v>
      </c>
      <c r="AJ68" s="27" t="s">
        <v>41</v>
      </c>
      <c r="AK68" s="27" t="s">
        <v>41</v>
      </c>
      <c r="AL68" s="27" t="s">
        <v>41</v>
      </c>
      <c r="AM68" s="27" t="s">
        <v>41</v>
      </c>
      <c r="AN68" s="27" t="s">
        <v>41</v>
      </c>
      <c r="AO68" s="27" t="s">
        <v>41</v>
      </c>
      <c r="AP68" s="27" t="s">
        <v>41</v>
      </c>
      <c r="AQ68" s="27" t="s">
        <v>41</v>
      </c>
      <c r="AR68" s="28" t="s">
        <v>41</v>
      </c>
      <c r="AS68" s="27" t="s">
        <v>456</v>
      </c>
      <c r="AT68" s="27">
        <v>10</v>
      </c>
      <c r="AU68" s="82">
        <v>0.37</v>
      </c>
      <c r="AV68" s="86" t="s">
        <v>41</v>
      </c>
      <c r="AW68" s="28">
        <v>0</v>
      </c>
      <c r="AX68" s="29">
        <f>AVERAGE(O68:Q68)+0.25*MAX(0,(COUNT(U68,W68,Y68,AA68,AC68,AE68,AG68,AI68,AK68,AM68,AO68,AQ68)-3))+IF(AU68&gt;0.55,0.25,0)+IF(MAX(U68,W68,Y68,AA68,AC68,AE68,AG68,AI68,AK68,AM68,AO68,AQ68)&gt;5,0.25,0)</f>
        <v>3.5833333333333335</v>
      </c>
      <c r="AY68" s="30" t="str">
        <f>IF(AX68&gt;9,"SuperStar",IF(AX68&gt;8,"Star",IF(AX68&gt;6.5,"GoodReg",IF(AX68&gt;5,"Reg",IF(AX68&gt;4,"Bench","Minors")))))</f>
        <v>Minors</v>
      </c>
      <c r="AZ68" s="30">
        <f>AVERAGE(R68:T68)+0.25*MAX(0,(COUNT(V68,X68,Z68,AB68,AD68,AF68,AH68,AJ68,AL68,AN68,AP68,AR68)-3))+IF(AU68&gt;0.55,0.25,0)+IF(MAX(V68,X68,Z68,AB68,AD68,AF68,AH68,AJ68,AL68,AN68,AP68,AR68)&gt;5,0.25,0)</f>
        <v>3.9166666666666665</v>
      </c>
      <c r="BA68" s="30" t="str">
        <f>IF(AZ68&gt;9,"SuperStar",IF(AZ68&gt;8,"Star",IF(AZ68&gt;6.5,"GoodReg",IF(AZ68&gt;5,"Reg",IF(AZ68&gt;4,"Bench","Minors")))))</f>
        <v>Minors</v>
      </c>
      <c r="BB68" s="30">
        <f>MIN(AX68+(MAX(0,25-S68))^1.5,AZ68)</f>
        <v>3.9166666666666665</v>
      </c>
      <c r="BC68" s="30" t="str">
        <f>IF(BB68&gt;9,"SuperStar",IF(BB68&gt;8,"Star",IF(BB68&gt;6.5,"GoodReg",IF(BB68&gt;5,"Reg",IF(BB68&gt;4,"Bench","Minors")))))</f>
        <v>Minors</v>
      </c>
      <c r="BD68" s="108">
        <f>COUNT(U68:AR68)/2</f>
        <v>3</v>
      </c>
      <c r="BE68" s="109">
        <f>COUNTIF(U68:AR68,"&gt;5")/2</f>
        <v>1</v>
      </c>
      <c r="BF68" s="27" t="str">
        <f>IF(AW68=1,"Yes","")</f>
        <v/>
      </c>
      <c r="BG68" s="27" t="str">
        <f>IF(A68="ML","There",IF(AVERAGE($R68:$T68)&gt;=6,"Likely",IF(AVERAGE($R68:$T68)&gt;=4,"Possible","Unlikely")))</f>
        <v>Unlikely</v>
      </c>
      <c r="BH68" t="str">
        <f>IF(AVERAGE(O68:Q68)&gt;=5.5,"ML",IF(AVERAGE(O68:Q68)&gt;=4.5,"AAA",IF(AVERAGE(O68:Q68)&gt;=4,"AA",IF(AVERAGE(O68:Q68)&gt;=3.5,"A","SS-A"))))</f>
        <v>SS-A</v>
      </c>
      <c r="BI68">
        <f>SUM(O68:Q68)</f>
        <v>10</v>
      </c>
      <c r="BJ68">
        <f>SUM(R68:T68)</f>
        <v>11</v>
      </c>
      <c r="BK68">
        <f>O68-R68</f>
        <v>0</v>
      </c>
      <c r="BL68">
        <f>P68-S68</f>
        <v>0</v>
      </c>
      <c r="BM68">
        <f>Q68-T68</f>
        <v>-1</v>
      </c>
      <c r="BN68">
        <f>SUM(BK68:BM68)</f>
        <v>-1</v>
      </c>
    </row>
    <row r="69" spans="1:66">
      <c r="A69" s="96" t="s">
        <v>327</v>
      </c>
      <c r="B69" t="s">
        <v>111</v>
      </c>
      <c r="C69" t="str">
        <f>IF(OR(OR(M69="Very High",M69="High"),AND(OR(M69="Very High",M69="High",M69="Normal"),OR(N69="Very High",N69="High"))),"K","T")</f>
        <v>K</v>
      </c>
      <c r="D69" s="27" t="s">
        <v>111</v>
      </c>
      <c r="E69" s="27" t="s">
        <v>637</v>
      </c>
      <c r="F69" s="27" t="s">
        <v>383</v>
      </c>
      <c r="G69" s="27" t="s">
        <v>327</v>
      </c>
      <c r="H69" s="27">
        <v>18</v>
      </c>
      <c r="I69" s="27" t="s">
        <v>107</v>
      </c>
      <c r="J69" s="28" t="s">
        <v>107</v>
      </c>
      <c r="K69" s="27" t="s">
        <v>47</v>
      </c>
      <c r="L69" s="27" t="s">
        <v>40</v>
      </c>
      <c r="M69" s="27" t="s">
        <v>230</v>
      </c>
      <c r="N69" s="28" t="s">
        <v>228</v>
      </c>
      <c r="O69" s="27">
        <v>2</v>
      </c>
      <c r="P69" s="27">
        <v>5</v>
      </c>
      <c r="Q69" s="28">
        <v>1</v>
      </c>
      <c r="R69" s="27">
        <v>6</v>
      </c>
      <c r="S69" s="27">
        <v>7</v>
      </c>
      <c r="T69" s="28">
        <v>5</v>
      </c>
      <c r="U69" s="27" t="s">
        <v>41</v>
      </c>
      <c r="V69" s="27" t="s">
        <v>41</v>
      </c>
      <c r="W69" s="27">
        <v>1</v>
      </c>
      <c r="X69" s="27">
        <v>5</v>
      </c>
      <c r="Y69" s="27">
        <v>3</v>
      </c>
      <c r="Z69" s="27">
        <v>6</v>
      </c>
      <c r="AA69" s="27">
        <v>3</v>
      </c>
      <c r="AB69" s="27">
        <v>3</v>
      </c>
      <c r="AC69" s="27" t="s">
        <v>41</v>
      </c>
      <c r="AD69" s="27" t="s">
        <v>41</v>
      </c>
      <c r="AE69" s="27" t="s">
        <v>41</v>
      </c>
      <c r="AF69" s="27" t="s">
        <v>41</v>
      </c>
      <c r="AG69" s="27">
        <v>4</v>
      </c>
      <c r="AH69" s="27">
        <v>7</v>
      </c>
      <c r="AI69" s="27" t="s">
        <v>41</v>
      </c>
      <c r="AJ69" s="27" t="s">
        <v>41</v>
      </c>
      <c r="AK69" s="27" t="s">
        <v>41</v>
      </c>
      <c r="AL69" s="27" t="s">
        <v>41</v>
      </c>
      <c r="AM69" s="27" t="s">
        <v>41</v>
      </c>
      <c r="AN69" s="27" t="s">
        <v>41</v>
      </c>
      <c r="AO69" s="27" t="s">
        <v>41</v>
      </c>
      <c r="AP69" s="27" t="s">
        <v>41</v>
      </c>
      <c r="AQ69" s="27" t="s">
        <v>41</v>
      </c>
      <c r="AR69" s="28" t="s">
        <v>41</v>
      </c>
      <c r="AS69" s="27" t="s">
        <v>15</v>
      </c>
      <c r="AT69" s="27">
        <v>7</v>
      </c>
      <c r="AU69" s="82">
        <v>0.59</v>
      </c>
      <c r="AV69" s="86" t="s">
        <v>41</v>
      </c>
      <c r="AW69" s="28">
        <v>0</v>
      </c>
      <c r="AX69" s="29">
        <f>AVERAGE(O69:Q69)+0.25*MAX(0,(COUNT(U69,W69,Y69,AA69,AC69,AE69,AG69,AI69,AK69,AM69,AO69,AQ69)-3))+IF(AU69&gt;0.55,0.25,0)+IF(MAX(U69,W69,Y69,AA69,AC69,AE69,AG69,AI69,AK69,AM69,AO69,AQ69)&gt;5,0.25,0)</f>
        <v>3.1666666666666665</v>
      </c>
      <c r="AY69" s="30" t="str">
        <f>IF(AX69&gt;9,"SuperStar",IF(AX69&gt;8,"Star",IF(AX69&gt;6.5,"GoodReg",IF(AX69&gt;5,"Reg",IF(AX69&gt;4,"Bench","Minors")))))</f>
        <v>Minors</v>
      </c>
      <c r="AZ69" s="30">
        <f>AVERAGE(R69:T69)+0.25*MAX(0,(COUNT(V69,X69,Z69,AB69,AD69,AF69,AH69,AJ69,AL69,AN69,AP69,AR69)-3))+IF(AU69&gt;0.55,0.25,0)+IF(MAX(V69,X69,Z69,AB69,AD69,AF69,AH69,AJ69,AL69,AN69,AP69,AR69)&gt;5,0.25,0)</f>
        <v>6.75</v>
      </c>
      <c r="BA69" s="30" t="str">
        <f>IF(AZ69&gt;9,"SuperStar",IF(AZ69&gt;8,"Star",IF(AZ69&gt;6.5,"GoodReg",IF(AZ69&gt;5,"Reg",IF(AZ69&gt;4,"Bench","Minors")))))</f>
        <v>GoodReg</v>
      </c>
      <c r="BB69" s="30">
        <f>MIN(AX69+(MAX(0,25-S69))^1.5,AZ69)</f>
        <v>6.75</v>
      </c>
      <c r="BC69" s="30" t="str">
        <f>IF(BB69&gt;9,"SuperStar",IF(BB69&gt;8,"Star",IF(BB69&gt;6.5,"GoodReg",IF(BB69&gt;5,"Reg",IF(BB69&gt;4,"Bench","Minors")))))</f>
        <v>GoodReg</v>
      </c>
      <c r="BD69" s="108">
        <f>COUNT(U69:AR69)/2</f>
        <v>4</v>
      </c>
      <c r="BE69" s="109">
        <f>COUNTIF(U69:AR69,"&gt;5")/2</f>
        <v>1</v>
      </c>
      <c r="BF69" s="27" t="str">
        <f>IF(AW69=1,"Yes","")</f>
        <v/>
      </c>
      <c r="BG69" s="27" t="str">
        <f>IF(A69="ML","There",IF(AVERAGE($R69:$T69)&gt;=6,"Likely",IF(AVERAGE($R69:$T69)&gt;=4,"Possible","Unlikely")))</f>
        <v>Likely</v>
      </c>
      <c r="BH69" t="str">
        <f>IF(AVERAGE(O69:Q69)&gt;=5.5,"ML",IF(AVERAGE(O69:Q69)&gt;=4.5,"AAA",IF(AVERAGE(O69:Q69)&gt;=4,"AA",IF(AVERAGE(O69:Q69)&gt;=3.5,"A","SS-A"))))</f>
        <v>SS-A</v>
      </c>
      <c r="BI69">
        <f>SUM(O69:Q69)</f>
        <v>8</v>
      </c>
      <c r="BJ69">
        <f>SUM(R69:T69)</f>
        <v>18</v>
      </c>
      <c r="BK69">
        <f>O69-R69</f>
        <v>-4</v>
      </c>
      <c r="BL69">
        <f>P69-S69</f>
        <v>-2</v>
      </c>
      <c r="BM69">
        <f>Q69-T69</f>
        <v>-4</v>
      </c>
      <c r="BN69">
        <f>SUM(BK69:BM69)</f>
        <v>-10</v>
      </c>
    </row>
    <row r="70" spans="1:66">
      <c r="A70" s="96" t="s">
        <v>327</v>
      </c>
      <c r="B70" t="s">
        <v>110</v>
      </c>
      <c r="C70" t="str">
        <f>IF(OR(OR(M70="Very High",M70="High"),AND(OR(M70="Very High",M70="High",M70="Normal"),OR(N70="Very High",N70="High"))),"K","T")</f>
        <v>T</v>
      </c>
      <c r="D70" s="27" t="s">
        <v>110</v>
      </c>
      <c r="E70" s="27" t="s">
        <v>513</v>
      </c>
      <c r="F70" s="27" t="s">
        <v>383</v>
      </c>
      <c r="G70" s="27" t="s">
        <v>327</v>
      </c>
      <c r="H70" s="27">
        <v>22</v>
      </c>
      <c r="I70" s="27" t="s">
        <v>107</v>
      </c>
      <c r="J70" s="28" t="s">
        <v>106</v>
      </c>
      <c r="K70" s="27" t="s">
        <v>47</v>
      </c>
      <c r="L70" s="27" t="s">
        <v>42</v>
      </c>
      <c r="M70" s="27" t="s">
        <v>230</v>
      </c>
      <c r="N70" s="28" t="s">
        <v>230</v>
      </c>
      <c r="O70" s="27">
        <v>6</v>
      </c>
      <c r="P70" s="27">
        <v>4</v>
      </c>
      <c r="Q70" s="28">
        <v>2</v>
      </c>
      <c r="R70" s="27">
        <v>6</v>
      </c>
      <c r="S70" s="27">
        <v>4</v>
      </c>
      <c r="T70" s="28">
        <v>4</v>
      </c>
      <c r="U70" s="27">
        <v>7</v>
      </c>
      <c r="V70" s="27">
        <v>7</v>
      </c>
      <c r="W70" s="27">
        <v>4</v>
      </c>
      <c r="X70" s="27">
        <v>4</v>
      </c>
      <c r="Y70" s="27" t="s">
        <v>41</v>
      </c>
      <c r="Z70" s="27" t="s">
        <v>41</v>
      </c>
      <c r="AA70" s="27" t="s">
        <v>41</v>
      </c>
      <c r="AB70" s="27" t="s">
        <v>41</v>
      </c>
      <c r="AC70" s="27" t="s">
        <v>41</v>
      </c>
      <c r="AD70" s="27" t="s">
        <v>41</v>
      </c>
      <c r="AE70" s="27" t="s">
        <v>41</v>
      </c>
      <c r="AF70" s="27" t="s">
        <v>41</v>
      </c>
      <c r="AG70" s="27">
        <v>6</v>
      </c>
      <c r="AH70" s="27">
        <v>6</v>
      </c>
      <c r="AI70" s="27">
        <v>6</v>
      </c>
      <c r="AJ70" s="27">
        <v>6</v>
      </c>
      <c r="AK70" s="27" t="s">
        <v>41</v>
      </c>
      <c r="AL70" s="27" t="s">
        <v>41</v>
      </c>
      <c r="AM70" s="27" t="s">
        <v>41</v>
      </c>
      <c r="AN70" s="27" t="s">
        <v>41</v>
      </c>
      <c r="AO70" s="27" t="s">
        <v>41</v>
      </c>
      <c r="AP70" s="27" t="s">
        <v>41</v>
      </c>
      <c r="AQ70" s="27" t="s">
        <v>41</v>
      </c>
      <c r="AR70" s="28" t="s">
        <v>41</v>
      </c>
      <c r="AS70" s="27" t="s">
        <v>456</v>
      </c>
      <c r="AT70" s="27">
        <v>4</v>
      </c>
      <c r="AU70" s="82">
        <v>0.45</v>
      </c>
      <c r="AV70" s="86" t="s">
        <v>41</v>
      </c>
      <c r="AW70" s="28">
        <v>0</v>
      </c>
      <c r="AX70" s="29">
        <f>AVERAGE(O70:Q70)+0.25*MAX(0,(COUNT(U70,W70,Y70,AA70,AC70,AE70,AG70,AI70,AK70,AM70,AO70,AQ70)-3))+IF(AU70&gt;0.55,0.25,0)+IF(MAX(U70,W70,Y70,AA70,AC70,AE70,AG70,AI70,AK70,AM70,AO70,AQ70)&gt;5,0.25,0)</f>
        <v>4.5</v>
      </c>
      <c r="AY70" s="30" t="str">
        <f>IF(AX70&gt;9,"SuperStar",IF(AX70&gt;8,"Star",IF(AX70&gt;6.5,"GoodReg",IF(AX70&gt;5,"Reg",IF(AX70&gt;4,"Bench","Minors")))))</f>
        <v>Bench</v>
      </c>
      <c r="AZ70" s="30">
        <f>AVERAGE(R70:T70)+0.25*MAX(0,(COUNT(V70,X70,Z70,AB70,AD70,AF70,AH70,AJ70,AL70,AN70,AP70,AR70)-3))+IF(AU70&gt;0.55,0.25,0)+IF(MAX(V70,X70,Z70,AB70,AD70,AF70,AH70,AJ70,AL70,AN70,AP70,AR70)&gt;5,0.25,0)</f>
        <v>5.166666666666667</v>
      </c>
      <c r="BA70" s="30" t="str">
        <f>IF(AZ70&gt;9,"SuperStar",IF(AZ70&gt;8,"Star",IF(AZ70&gt;6.5,"GoodReg",IF(AZ70&gt;5,"Reg",IF(AZ70&gt;4,"Bench","Minors")))))</f>
        <v>Reg</v>
      </c>
      <c r="BB70" s="30">
        <f>MIN(AX70+(MAX(0,25-S70))^1.5,AZ70)</f>
        <v>5.166666666666667</v>
      </c>
      <c r="BC70" s="30" t="str">
        <f>IF(BB70&gt;9,"SuperStar",IF(BB70&gt;8,"Star",IF(BB70&gt;6.5,"GoodReg",IF(BB70&gt;5,"Reg",IF(BB70&gt;4,"Bench","Minors")))))</f>
        <v>Reg</v>
      </c>
      <c r="BD70" s="108">
        <f>COUNT(U70:AR70)/2</f>
        <v>4</v>
      </c>
      <c r="BE70" s="109">
        <f>COUNTIF(U70:AR70,"&gt;5")/2</f>
        <v>3</v>
      </c>
      <c r="BF70" s="27" t="str">
        <f>IF(AW70=1,"Yes","")</f>
        <v/>
      </c>
      <c r="BG70" s="27" t="str">
        <f>IF(A70="ML","There",IF(AVERAGE($R70:$T70)&gt;=6,"Likely",IF(AVERAGE($R70:$T70)&gt;=4,"Possible","Unlikely")))</f>
        <v>Possible</v>
      </c>
      <c r="BH70" t="str">
        <f>IF(AVERAGE(O70:Q70)&gt;=5.5,"ML",IF(AVERAGE(O70:Q70)&gt;=4.5,"AAA",IF(AVERAGE(O70:Q70)&gt;=4,"AA",IF(AVERAGE(O70:Q70)&gt;=3.5,"A","SS-A"))))</f>
        <v>AA</v>
      </c>
      <c r="BI70">
        <f>SUM(O70:Q70)</f>
        <v>12</v>
      </c>
      <c r="BJ70">
        <f>SUM(R70:T70)</f>
        <v>14</v>
      </c>
      <c r="BK70">
        <f>O70-R70</f>
        <v>0</v>
      </c>
      <c r="BL70">
        <f>P70-S70</f>
        <v>0</v>
      </c>
      <c r="BM70">
        <f>Q70-T70</f>
        <v>-2</v>
      </c>
      <c r="BN70">
        <f>SUM(BK70:BM70)</f>
        <v>-2</v>
      </c>
    </row>
    <row r="71" spans="1:66">
      <c r="A71" s="96" t="s">
        <v>327</v>
      </c>
      <c r="B71" t="s">
        <v>110</v>
      </c>
      <c r="C71" t="str">
        <f>IF(OR(OR(M71="Very High",M71="High"),AND(OR(M71="Very High",M71="High",M71="Normal"),OR(N71="Very High",N71="High"))),"K","T")</f>
        <v>T</v>
      </c>
      <c r="D71" s="27" t="s">
        <v>110</v>
      </c>
      <c r="E71" s="27" t="s">
        <v>515</v>
      </c>
      <c r="F71" s="27" t="s">
        <v>383</v>
      </c>
      <c r="G71" s="27" t="s">
        <v>327</v>
      </c>
      <c r="H71" s="27">
        <v>22</v>
      </c>
      <c r="I71" s="27" t="s">
        <v>107</v>
      </c>
      <c r="J71" s="28" t="s">
        <v>107</v>
      </c>
      <c r="K71" s="27" t="s">
        <v>47</v>
      </c>
      <c r="L71" s="27" t="s">
        <v>47</v>
      </c>
      <c r="M71" s="27" t="s">
        <v>232</v>
      </c>
      <c r="N71" s="28" t="s">
        <v>228</v>
      </c>
      <c r="O71" s="27">
        <v>5</v>
      </c>
      <c r="P71" s="27">
        <v>4</v>
      </c>
      <c r="Q71" s="28">
        <v>2</v>
      </c>
      <c r="R71" s="27">
        <v>6</v>
      </c>
      <c r="S71" s="27">
        <v>4</v>
      </c>
      <c r="T71" s="28">
        <v>4</v>
      </c>
      <c r="U71" s="27">
        <v>6</v>
      </c>
      <c r="V71" s="27">
        <v>6</v>
      </c>
      <c r="W71" s="27">
        <v>2</v>
      </c>
      <c r="X71" s="27">
        <v>3</v>
      </c>
      <c r="Y71" s="27">
        <v>5</v>
      </c>
      <c r="Z71" s="27">
        <v>6</v>
      </c>
      <c r="AA71" s="27">
        <v>3</v>
      </c>
      <c r="AB71" s="27">
        <v>3</v>
      </c>
      <c r="AC71" s="27" t="s">
        <v>41</v>
      </c>
      <c r="AD71" s="27" t="s">
        <v>41</v>
      </c>
      <c r="AE71" s="27" t="s">
        <v>41</v>
      </c>
      <c r="AF71" s="27" t="s">
        <v>41</v>
      </c>
      <c r="AG71" s="27" t="s">
        <v>41</v>
      </c>
      <c r="AH71" s="27" t="s">
        <v>41</v>
      </c>
      <c r="AI71" s="27" t="s">
        <v>41</v>
      </c>
      <c r="AJ71" s="27" t="s">
        <v>41</v>
      </c>
      <c r="AK71" s="27" t="s">
        <v>41</v>
      </c>
      <c r="AL71" s="27" t="s">
        <v>41</v>
      </c>
      <c r="AM71" s="27" t="s">
        <v>41</v>
      </c>
      <c r="AN71" s="27" t="s">
        <v>41</v>
      </c>
      <c r="AO71" s="27" t="s">
        <v>41</v>
      </c>
      <c r="AP71" s="27" t="s">
        <v>41</v>
      </c>
      <c r="AQ71" s="27" t="s">
        <v>41</v>
      </c>
      <c r="AR71" s="28" t="s">
        <v>41</v>
      </c>
      <c r="AS71" s="27" t="s">
        <v>5</v>
      </c>
      <c r="AT71" s="27">
        <v>6</v>
      </c>
      <c r="AU71" s="82">
        <v>0.44</v>
      </c>
      <c r="AV71" s="86" t="s">
        <v>41</v>
      </c>
      <c r="AW71" s="28">
        <v>0</v>
      </c>
      <c r="AX71" s="29">
        <f>AVERAGE(O71:Q71)+0.25*MAX(0,(COUNT(U71,W71,Y71,AA71,AC71,AE71,AG71,AI71,AK71,AM71,AO71,AQ71)-3))+IF(AU71&gt;0.55,0.25,0)+IF(MAX(U71,W71,Y71,AA71,AC71,AE71,AG71,AI71,AK71,AM71,AO71,AQ71)&gt;5,0.25,0)</f>
        <v>4.1666666666666661</v>
      </c>
      <c r="AY71" s="30" t="str">
        <f>IF(AX71&gt;9,"SuperStar",IF(AX71&gt;8,"Star",IF(AX71&gt;6.5,"GoodReg",IF(AX71&gt;5,"Reg",IF(AX71&gt;4,"Bench","Minors")))))</f>
        <v>Bench</v>
      </c>
      <c r="AZ71" s="30">
        <f>AVERAGE(R71:T71)+0.25*MAX(0,(COUNT(V71,X71,Z71,AB71,AD71,AF71,AH71,AJ71,AL71,AN71,AP71,AR71)-3))+IF(AU71&gt;0.55,0.25,0)+IF(MAX(V71,X71,Z71,AB71,AD71,AF71,AH71,AJ71,AL71,AN71,AP71,AR71)&gt;5,0.25,0)</f>
        <v>5.166666666666667</v>
      </c>
      <c r="BA71" s="30" t="str">
        <f>IF(AZ71&gt;9,"SuperStar",IF(AZ71&gt;8,"Star",IF(AZ71&gt;6.5,"GoodReg",IF(AZ71&gt;5,"Reg",IF(AZ71&gt;4,"Bench","Minors")))))</f>
        <v>Reg</v>
      </c>
      <c r="BB71" s="30">
        <f>MIN(AX71+(MAX(0,25-S71))^1.5,AZ71)</f>
        <v>5.166666666666667</v>
      </c>
      <c r="BC71" s="30" t="str">
        <f>IF(BB71&gt;9,"SuperStar",IF(BB71&gt;8,"Star",IF(BB71&gt;6.5,"GoodReg",IF(BB71&gt;5,"Reg",IF(BB71&gt;4,"Bench","Minors")))))</f>
        <v>Reg</v>
      </c>
      <c r="BD71" s="108">
        <f>COUNT(U71:AR71)/2</f>
        <v>4</v>
      </c>
      <c r="BE71" s="109">
        <f>COUNTIF(U71:AR71,"&gt;5")/2</f>
        <v>1.5</v>
      </c>
      <c r="BF71" s="27" t="str">
        <f>IF(AW71=1,"Yes","")</f>
        <v/>
      </c>
      <c r="BG71" s="27" t="str">
        <f>IF(A71="ML","There",IF(AVERAGE($R71:$T71)&gt;=6,"Likely",IF(AVERAGE($R71:$T71)&gt;=4,"Possible","Unlikely")))</f>
        <v>Possible</v>
      </c>
      <c r="BH71" t="str">
        <f>IF(AVERAGE(O71:Q71)&gt;=5.5,"ML",IF(AVERAGE(O71:Q71)&gt;=4.5,"AAA",IF(AVERAGE(O71:Q71)&gt;=4,"AA",IF(AVERAGE(O71:Q71)&gt;=3.5,"A","SS-A"))))</f>
        <v>A</v>
      </c>
      <c r="BI71">
        <f>SUM(O71:Q71)</f>
        <v>11</v>
      </c>
      <c r="BJ71">
        <f>SUM(R71:T71)</f>
        <v>14</v>
      </c>
      <c r="BK71">
        <f>O71-R71</f>
        <v>-1</v>
      </c>
      <c r="BL71">
        <f>P71-S71</f>
        <v>0</v>
      </c>
      <c r="BM71">
        <f>Q71-T71</f>
        <v>-2</v>
      </c>
      <c r="BN71">
        <f>SUM(BK71:BM71)</f>
        <v>-3</v>
      </c>
    </row>
    <row r="72" spans="1:66">
      <c r="A72" s="96" t="s">
        <v>327</v>
      </c>
      <c r="B72" t="s">
        <v>110</v>
      </c>
      <c r="C72" t="str">
        <f>IF(OR(OR(M72="Very High",M72="High"),AND(OR(M72="Very High",M72="High",M72="Normal"),OR(N72="Very High",N72="High"))),"K","T")</f>
        <v>T</v>
      </c>
      <c r="D72" s="27" t="s">
        <v>110</v>
      </c>
      <c r="E72" s="27" t="s">
        <v>434</v>
      </c>
      <c r="F72" s="27" t="s">
        <v>383</v>
      </c>
      <c r="G72" s="27" t="s">
        <v>327</v>
      </c>
      <c r="H72" s="27">
        <v>20</v>
      </c>
      <c r="I72" s="27" t="s">
        <v>107</v>
      </c>
      <c r="J72" s="28" t="s">
        <v>107</v>
      </c>
      <c r="K72" s="27" t="s">
        <v>47</v>
      </c>
      <c r="L72" s="27" t="s">
        <v>42</v>
      </c>
      <c r="M72" s="27" t="s">
        <v>231</v>
      </c>
      <c r="N72" s="28" t="s">
        <v>228</v>
      </c>
      <c r="O72" s="27">
        <v>5</v>
      </c>
      <c r="P72" s="27">
        <v>4</v>
      </c>
      <c r="Q72" s="28">
        <v>2</v>
      </c>
      <c r="R72" s="27">
        <v>7</v>
      </c>
      <c r="S72" s="27">
        <v>4</v>
      </c>
      <c r="T72" s="28">
        <v>4</v>
      </c>
      <c r="U72" s="27">
        <v>6</v>
      </c>
      <c r="V72" s="27">
        <v>8</v>
      </c>
      <c r="W72" s="27" t="s">
        <v>41</v>
      </c>
      <c r="X72" s="27" t="s">
        <v>41</v>
      </c>
      <c r="Y72" s="27">
        <v>4</v>
      </c>
      <c r="Z72" s="27">
        <v>7</v>
      </c>
      <c r="AA72" s="27" t="s">
        <v>41</v>
      </c>
      <c r="AB72" s="27" t="s">
        <v>41</v>
      </c>
      <c r="AC72" s="27" t="s">
        <v>41</v>
      </c>
      <c r="AD72" s="27" t="s">
        <v>41</v>
      </c>
      <c r="AE72" s="27" t="s">
        <v>41</v>
      </c>
      <c r="AF72" s="27" t="s">
        <v>41</v>
      </c>
      <c r="AG72" s="27" t="s">
        <v>41</v>
      </c>
      <c r="AH72" s="27" t="s">
        <v>41</v>
      </c>
      <c r="AI72" s="27" t="s">
        <v>41</v>
      </c>
      <c r="AJ72" s="27" t="s">
        <v>41</v>
      </c>
      <c r="AK72" s="27" t="s">
        <v>41</v>
      </c>
      <c r="AL72" s="27" t="s">
        <v>41</v>
      </c>
      <c r="AM72" s="27" t="s">
        <v>41</v>
      </c>
      <c r="AN72" s="27" t="s">
        <v>41</v>
      </c>
      <c r="AO72" s="27" t="s">
        <v>41</v>
      </c>
      <c r="AP72" s="27" t="s">
        <v>41</v>
      </c>
      <c r="AQ72" s="27" t="s">
        <v>41</v>
      </c>
      <c r="AR72" s="28" t="s">
        <v>41</v>
      </c>
      <c r="AS72" s="27" t="s">
        <v>11</v>
      </c>
      <c r="AT72" s="27">
        <v>10</v>
      </c>
      <c r="AU72" s="82">
        <v>0.44</v>
      </c>
      <c r="AV72" s="86" t="s">
        <v>41</v>
      </c>
      <c r="AW72" s="28">
        <v>0</v>
      </c>
      <c r="AX72" s="29">
        <f>AVERAGE(O72:Q72)+0.25*MAX(0,(COUNT(U72,W72,Y72,AA72,AC72,AE72,AG72,AI72,AK72,AM72,AO72,AQ72)-3))+IF(AU72&gt;0.55,0.25,0)+IF(MAX(U72,W72,Y72,AA72,AC72,AE72,AG72,AI72,AK72,AM72,AO72,AQ72)&gt;5,0.25,0)</f>
        <v>3.9166666666666665</v>
      </c>
      <c r="AY72" s="30" t="str">
        <f>IF(AX72&gt;9,"SuperStar",IF(AX72&gt;8,"Star",IF(AX72&gt;6.5,"GoodReg",IF(AX72&gt;5,"Reg",IF(AX72&gt;4,"Bench","Minors")))))</f>
        <v>Minors</v>
      </c>
      <c r="AZ72" s="30">
        <f>AVERAGE(R72:T72)+0.25*MAX(0,(COUNT(V72,X72,Z72,AB72,AD72,AF72,AH72,AJ72,AL72,AN72,AP72,AR72)-3))+IF(AU72&gt;0.55,0.25,0)+IF(MAX(V72,X72,Z72,AB72,AD72,AF72,AH72,AJ72,AL72,AN72,AP72,AR72)&gt;5,0.25,0)</f>
        <v>5.25</v>
      </c>
      <c r="BA72" s="30" t="str">
        <f>IF(AZ72&gt;9,"SuperStar",IF(AZ72&gt;8,"Star",IF(AZ72&gt;6.5,"GoodReg",IF(AZ72&gt;5,"Reg",IF(AZ72&gt;4,"Bench","Minors")))))</f>
        <v>Reg</v>
      </c>
      <c r="BB72" s="30">
        <f>MIN(AX72+(MAX(0,25-S72))^1.5,AZ72)</f>
        <v>5.25</v>
      </c>
      <c r="BC72" s="30" t="str">
        <f>IF(BB72&gt;9,"SuperStar",IF(BB72&gt;8,"Star",IF(BB72&gt;6.5,"GoodReg",IF(BB72&gt;5,"Reg",IF(BB72&gt;4,"Bench","Minors")))))</f>
        <v>Reg</v>
      </c>
      <c r="BD72" s="108">
        <f>COUNT(U72:AR72)/2</f>
        <v>2</v>
      </c>
      <c r="BE72" s="109">
        <f>COUNTIF(U72:AR72,"&gt;5")/2</f>
        <v>1.5</v>
      </c>
      <c r="BF72" s="27" t="str">
        <f>IF(AW72=1,"Yes","")</f>
        <v/>
      </c>
      <c r="BG72" s="27" t="str">
        <f>IF(A72="ML","There",IF(AVERAGE($R72:$T72)&gt;=6,"Likely",IF(AVERAGE($R72:$T72)&gt;=4,"Possible","Unlikely")))</f>
        <v>Possible</v>
      </c>
      <c r="BH72" t="str">
        <f>IF(AVERAGE(O72:Q72)&gt;=5.5,"ML",IF(AVERAGE(O72:Q72)&gt;=4.5,"AAA",IF(AVERAGE(O72:Q72)&gt;=4,"AA",IF(AVERAGE(O72:Q72)&gt;=3.5,"A","SS-A"))))</f>
        <v>A</v>
      </c>
      <c r="BI72">
        <f>SUM(O72:Q72)</f>
        <v>11</v>
      </c>
      <c r="BJ72">
        <f>SUM(R72:T72)</f>
        <v>15</v>
      </c>
      <c r="BK72">
        <f>O72-R72</f>
        <v>-2</v>
      </c>
      <c r="BL72">
        <f>P72-S72</f>
        <v>0</v>
      </c>
      <c r="BM72">
        <f>Q72-T72</f>
        <v>-2</v>
      </c>
      <c r="BN72">
        <f>SUM(BK72:BM72)</f>
        <v>-4</v>
      </c>
    </row>
    <row r="73" spans="1:66">
      <c r="A73" s="96" t="s">
        <v>327</v>
      </c>
      <c r="B73" t="s">
        <v>110</v>
      </c>
      <c r="C73" t="str">
        <f>IF(OR(OR(M73="Very High",M73="High"),AND(OR(M73="Very High",M73="High",M73="Normal"),OR(N73="Very High",N73="High"))),"K","T")</f>
        <v>T</v>
      </c>
      <c r="D73" s="27" t="s">
        <v>112</v>
      </c>
      <c r="E73" s="27" t="s">
        <v>640</v>
      </c>
      <c r="F73" s="27" t="s">
        <v>383</v>
      </c>
      <c r="G73" s="27" t="s">
        <v>327</v>
      </c>
      <c r="H73" s="27">
        <v>21</v>
      </c>
      <c r="I73" s="27" t="s">
        <v>106</v>
      </c>
      <c r="J73" s="28" t="s">
        <v>106</v>
      </c>
      <c r="K73" s="27" t="s">
        <v>47</v>
      </c>
      <c r="L73" s="27" t="s">
        <v>42</v>
      </c>
      <c r="M73" s="27" t="s">
        <v>232</v>
      </c>
      <c r="N73" s="28" t="s">
        <v>228</v>
      </c>
      <c r="O73" s="27">
        <v>3</v>
      </c>
      <c r="P73" s="27">
        <v>6</v>
      </c>
      <c r="Q73" s="28">
        <v>2</v>
      </c>
      <c r="R73" s="27">
        <v>3</v>
      </c>
      <c r="S73" s="27">
        <v>7</v>
      </c>
      <c r="T73" s="28">
        <v>5</v>
      </c>
      <c r="U73" s="27">
        <v>4</v>
      </c>
      <c r="V73" s="27">
        <v>5</v>
      </c>
      <c r="W73" s="27">
        <v>2</v>
      </c>
      <c r="X73" s="27">
        <v>3</v>
      </c>
      <c r="Y73" s="27">
        <v>2</v>
      </c>
      <c r="Z73" s="27">
        <v>2</v>
      </c>
      <c r="AA73" s="27" t="s">
        <v>41</v>
      </c>
      <c r="AB73" s="27" t="s">
        <v>41</v>
      </c>
      <c r="AC73" s="27" t="s">
        <v>41</v>
      </c>
      <c r="AD73" s="27" t="s">
        <v>41</v>
      </c>
      <c r="AE73" s="27" t="s">
        <v>41</v>
      </c>
      <c r="AF73" s="27" t="s">
        <v>41</v>
      </c>
      <c r="AG73" s="27" t="s">
        <v>41</v>
      </c>
      <c r="AH73" s="27" t="s">
        <v>41</v>
      </c>
      <c r="AI73" s="27" t="s">
        <v>41</v>
      </c>
      <c r="AJ73" s="27" t="s">
        <v>41</v>
      </c>
      <c r="AK73" s="27" t="s">
        <v>41</v>
      </c>
      <c r="AL73" s="27" t="s">
        <v>41</v>
      </c>
      <c r="AM73" s="27" t="s">
        <v>41</v>
      </c>
      <c r="AN73" s="27" t="s">
        <v>41</v>
      </c>
      <c r="AO73" s="27" t="s">
        <v>41</v>
      </c>
      <c r="AP73" s="27" t="s">
        <v>41</v>
      </c>
      <c r="AQ73" s="27" t="s">
        <v>41</v>
      </c>
      <c r="AR73" s="28" t="s">
        <v>41</v>
      </c>
      <c r="AS73" s="27" t="s">
        <v>1</v>
      </c>
      <c r="AT73" s="27">
        <v>2</v>
      </c>
      <c r="AU73" s="82">
        <v>0.55000000000000004</v>
      </c>
      <c r="AV73" s="86" t="s">
        <v>41</v>
      </c>
      <c r="AW73" s="28">
        <v>0</v>
      </c>
      <c r="AX73" s="29">
        <f>AVERAGE(O73:Q73)+0.25*MAX(0,(COUNT(U73,W73,Y73,AA73,AC73,AE73,AG73,AI73,AK73,AM73,AO73,AQ73)-3))+IF(AU73&gt;0.55,0.25,0)+IF(MAX(U73,W73,Y73,AA73,AC73,AE73,AG73,AI73,AK73,AM73,AO73,AQ73)&gt;5,0.25,0)</f>
        <v>3.6666666666666665</v>
      </c>
      <c r="AY73" s="30" t="str">
        <f>IF(AX73&gt;9,"SuperStar",IF(AX73&gt;8,"Star",IF(AX73&gt;6.5,"GoodReg",IF(AX73&gt;5,"Reg",IF(AX73&gt;4,"Bench","Minors")))))</f>
        <v>Minors</v>
      </c>
      <c r="AZ73" s="30">
        <f>AVERAGE(R73:T73)+0.25*MAX(0,(COUNT(V73,X73,Z73,AB73,AD73,AF73,AH73,AJ73,AL73,AN73,AP73,AR73)-3))+IF(AU73&gt;0.55,0.25,0)+IF(MAX(V73,X73,Z73,AB73,AD73,AF73,AH73,AJ73,AL73,AN73,AP73,AR73)&gt;5,0.25,0)</f>
        <v>5</v>
      </c>
      <c r="BA73" s="30" t="str">
        <f>IF(AZ73&gt;9,"SuperStar",IF(AZ73&gt;8,"Star",IF(AZ73&gt;6.5,"GoodReg",IF(AZ73&gt;5,"Reg",IF(AZ73&gt;4,"Bench","Minors")))))</f>
        <v>Bench</v>
      </c>
      <c r="BB73" s="30">
        <f>MIN(AX73+(MAX(0,25-S73))^1.5,AZ73)</f>
        <v>5</v>
      </c>
      <c r="BC73" s="30" t="str">
        <f>IF(BB73&gt;9,"SuperStar",IF(BB73&gt;8,"Star",IF(BB73&gt;6.5,"GoodReg",IF(BB73&gt;5,"Reg",IF(BB73&gt;4,"Bench","Minors")))))</f>
        <v>Bench</v>
      </c>
      <c r="BD73" s="108">
        <f>COUNT(U73:AR73)/2</f>
        <v>3</v>
      </c>
      <c r="BE73" s="109">
        <f>COUNTIF(U73:AR73,"&gt;5")/2</f>
        <v>0</v>
      </c>
      <c r="BF73" s="27" t="str">
        <f>IF(AW73=1,"Yes","")</f>
        <v/>
      </c>
      <c r="BG73" s="27" t="str">
        <f>IF(A73="ML","There",IF(AVERAGE($R73:$T73)&gt;=6,"Likely",IF(AVERAGE($R73:$T73)&gt;=4,"Possible","Unlikely")))</f>
        <v>Possible</v>
      </c>
      <c r="BH73" t="str">
        <f>IF(AVERAGE(O73:Q73)&gt;=5.5,"ML",IF(AVERAGE(O73:Q73)&gt;=4.5,"AAA",IF(AVERAGE(O73:Q73)&gt;=4,"AA",IF(AVERAGE(O73:Q73)&gt;=3.5,"A","SS-A"))))</f>
        <v>A</v>
      </c>
      <c r="BI73">
        <f>SUM(O73:Q73)</f>
        <v>11</v>
      </c>
      <c r="BJ73">
        <f>SUM(R73:T73)</f>
        <v>15</v>
      </c>
      <c r="BK73">
        <f>O73-R73</f>
        <v>0</v>
      </c>
      <c r="BL73">
        <f>P73-S73</f>
        <v>-1</v>
      </c>
      <c r="BM73">
        <f>Q73-T73</f>
        <v>-3</v>
      </c>
      <c r="BN73">
        <f>SUM(BK73:BM73)</f>
        <v>-4</v>
      </c>
    </row>
    <row r="74" spans="1:66">
      <c r="A74" s="96" t="s">
        <v>327</v>
      </c>
      <c r="B74" t="s">
        <v>110</v>
      </c>
      <c r="C74" t="str">
        <f>IF(OR(OR(M74="Very High",M74="High"),AND(OR(M74="Very High",M74="High",M74="Normal"),OR(N74="Very High",N74="High"))),"K","T")</f>
        <v>K</v>
      </c>
      <c r="D74" s="27" t="s">
        <v>110</v>
      </c>
      <c r="E74" s="27" t="s">
        <v>596</v>
      </c>
      <c r="F74" s="27" t="s">
        <v>383</v>
      </c>
      <c r="G74" s="27" t="s">
        <v>327</v>
      </c>
      <c r="H74" s="27">
        <v>20</v>
      </c>
      <c r="I74" s="27" t="s">
        <v>106</v>
      </c>
      <c r="J74" s="28" t="s">
        <v>107</v>
      </c>
      <c r="K74" s="27" t="s">
        <v>47</v>
      </c>
      <c r="L74" s="27" t="s">
        <v>42</v>
      </c>
      <c r="M74" s="27" t="s">
        <v>228</v>
      </c>
      <c r="N74" s="28" t="s">
        <v>232</v>
      </c>
      <c r="O74" s="27">
        <v>5</v>
      </c>
      <c r="P74" s="27">
        <v>3</v>
      </c>
      <c r="Q74" s="28">
        <v>1</v>
      </c>
      <c r="R74" s="27">
        <v>7</v>
      </c>
      <c r="S74" s="27">
        <v>3</v>
      </c>
      <c r="T74" s="28">
        <v>5</v>
      </c>
      <c r="U74" s="27">
        <v>6</v>
      </c>
      <c r="V74" s="27">
        <v>7</v>
      </c>
      <c r="W74" s="27" t="s">
        <v>41</v>
      </c>
      <c r="X74" s="27" t="s">
        <v>41</v>
      </c>
      <c r="Y74" s="27">
        <v>4</v>
      </c>
      <c r="Z74" s="27">
        <v>7</v>
      </c>
      <c r="AA74" s="27" t="s">
        <v>41</v>
      </c>
      <c r="AB74" s="27" t="s">
        <v>41</v>
      </c>
      <c r="AC74" s="27" t="s">
        <v>41</v>
      </c>
      <c r="AD74" s="27" t="s">
        <v>41</v>
      </c>
      <c r="AE74" s="27" t="s">
        <v>41</v>
      </c>
      <c r="AF74" s="27" t="s">
        <v>41</v>
      </c>
      <c r="AG74" s="27" t="s">
        <v>41</v>
      </c>
      <c r="AH74" s="27" t="s">
        <v>41</v>
      </c>
      <c r="AI74" s="27" t="s">
        <v>41</v>
      </c>
      <c r="AJ74" s="27" t="s">
        <v>41</v>
      </c>
      <c r="AK74" s="27" t="s">
        <v>41</v>
      </c>
      <c r="AL74" s="27" t="s">
        <v>41</v>
      </c>
      <c r="AM74" s="27" t="s">
        <v>41</v>
      </c>
      <c r="AN74" s="27" t="s">
        <v>41</v>
      </c>
      <c r="AO74" s="27" t="s">
        <v>41</v>
      </c>
      <c r="AP74" s="27" t="s">
        <v>41</v>
      </c>
      <c r="AQ74" s="27" t="s">
        <v>41</v>
      </c>
      <c r="AR74" s="28" t="s">
        <v>41</v>
      </c>
      <c r="AS74" s="27" t="s">
        <v>15</v>
      </c>
      <c r="AT74" s="27">
        <v>1</v>
      </c>
      <c r="AU74" s="82">
        <v>0.35</v>
      </c>
      <c r="AV74" s="86" t="s">
        <v>41</v>
      </c>
      <c r="AW74" s="28" t="s">
        <v>45</v>
      </c>
      <c r="AX74" s="29">
        <f>AVERAGE(O74:Q74)+0.25*MAX(0,(COUNT(U74,W74,Y74,AA74,AC74,AE74,AG74,AI74,AK74,AM74,AO74,AQ74)-3))+IF(AU74&gt;0.55,0.25,0)+IF(MAX(U74,W74,Y74,AA74,AC74,AE74,AG74,AI74,AK74,AM74,AO74,AQ74)&gt;5,0.25,0)</f>
        <v>3.25</v>
      </c>
      <c r="AY74" s="30" t="str">
        <f>IF(AX74&gt;9,"SuperStar",IF(AX74&gt;8,"Star",IF(AX74&gt;6.5,"GoodReg",IF(AX74&gt;5,"Reg",IF(AX74&gt;4,"Bench","Minors")))))</f>
        <v>Minors</v>
      </c>
      <c r="AZ74" s="30">
        <f>AVERAGE(R74:T74)+0.25*MAX(0,(COUNT(V74,X74,Z74,AB74,AD74,AF74,AH74,AJ74,AL74,AN74,AP74,AR74)-3))+IF(AU74&gt;0.55,0.25,0)+IF(MAX(V74,X74,Z74,AB74,AD74,AF74,AH74,AJ74,AL74,AN74,AP74,AR74)&gt;5,0.25,0)</f>
        <v>5.25</v>
      </c>
      <c r="BA74" s="30" t="str">
        <f>IF(AZ74&gt;9,"SuperStar",IF(AZ74&gt;8,"Star",IF(AZ74&gt;6.5,"GoodReg",IF(AZ74&gt;5,"Reg",IF(AZ74&gt;4,"Bench","Minors")))))</f>
        <v>Reg</v>
      </c>
      <c r="BB74" s="30">
        <f>MIN(AX74+(MAX(0,25-S74))^1.5,AZ74)</f>
        <v>5.25</v>
      </c>
      <c r="BC74" s="30" t="str">
        <f>IF(BB74&gt;9,"SuperStar",IF(BB74&gt;8,"Star",IF(BB74&gt;6.5,"GoodReg",IF(BB74&gt;5,"Reg",IF(BB74&gt;4,"Bench","Minors")))))</f>
        <v>Reg</v>
      </c>
      <c r="BD74" s="108">
        <f>COUNT(U74:AR74)/2</f>
        <v>2</v>
      </c>
      <c r="BE74" s="109">
        <f>COUNTIF(U74:AR74,"&gt;5")/2</f>
        <v>1.5</v>
      </c>
      <c r="BF74" s="27" t="str">
        <f>IF(AW74=1,"Yes","")</f>
        <v/>
      </c>
      <c r="BG74" s="27" t="str">
        <f>IF(A74="ML","There",IF(AVERAGE($R74:$T74)&gt;=6,"Likely",IF(AVERAGE($R74:$T74)&gt;=4,"Possible","Unlikely")))</f>
        <v>Possible</v>
      </c>
      <c r="BH74" t="str">
        <f>IF(AVERAGE(O74:Q74)&gt;=5.5,"ML",IF(AVERAGE(O74:Q74)&gt;=4.5,"AAA",IF(AVERAGE(O74:Q74)&gt;=4,"AA",IF(AVERAGE(O74:Q74)&gt;=3.5,"A","SS-A"))))</f>
        <v>SS-A</v>
      </c>
      <c r="BI74">
        <f>SUM(O74:Q74)</f>
        <v>9</v>
      </c>
      <c r="BJ74">
        <f>SUM(R74:T74)</f>
        <v>15</v>
      </c>
      <c r="BK74">
        <f>O74-R74</f>
        <v>-2</v>
      </c>
      <c r="BL74">
        <f>P74-S74</f>
        <v>0</v>
      </c>
      <c r="BM74">
        <f>Q74-T74</f>
        <v>-4</v>
      </c>
      <c r="BN74">
        <f>SUM(BK74:BM74)</f>
        <v>-6</v>
      </c>
    </row>
    <row r="75" spans="1:66">
      <c r="A75" s="96" t="s">
        <v>327</v>
      </c>
      <c r="B75" t="s">
        <v>110</v>
      </c>
      <c r="C75" t="str">
        <f>IF(OR(OR(M75="Very High",M75="High"),AND(OR(M75="Very High",M75="High",M75="Normal"),OR(N75="Very High",N75="High"))),"K","T")</f>
        <v>K</v>
      </c>
      <c r="D75" s="27" t="s">
        <v>110</v>
      </c>
      <c r="E75" s="27" t="s">
        <v>471</v>
      </c>
      <c r="F75" s="27" t="s">
        <v>383</v>
      </c>
      <c r="G75" s="27" t="s">
        <v>327</v>
      </c>
      <c r="H75" s="27">
        <v>20</v>
      </c>
      <c r="I75" s="27" t="s">
        <v>106</v>
      </c>
      <c r="J75" s="28" t="s">
        <v>106</v>
      </c>
      <c r="K75" s="27" t="s">
        <v>47</v>
      </c>
      <c r="L75" s="27" t="s">
        <v>47</v>
      </c>
      <c r="M75" s="27" t="s">
        <v>229</v>
      </c>
      <c r="N75" s="28" t="s">
        <v>231</v>
      </c>
      <c r="O75" s="27">
        <v>4</v>
      </c>
      <c r="P75" s="27">
        <v>4</v>
      </c>
      <c r="Q75" s="28">
        <v>1</v>
      </c>
      <c r="R75" s="27">
        <v>5</v>
      </c>
      <c r="S75" s="27">
        <v>5</v>
      </c>
      <c r="T75" s="28">
        <v>2</v>
      </c>
      <c r="U75" s="27">
        <v>6</v>
      </c>
      <c r="V75" s="27">
        <v>6</v>
      </c>
      <c r="W75" s="27" t="s">
        <v>41</v>
      </c>
      <c r="X75" s="27" t="s">
        <v>41</v>
      </c>
      <c r="Y75" s="27">
        <v>3</v>
      </c>
      <c r="Z75" s="27">
        <v>5</v>
      </c>
      <c r="AA75" s="27" t="s">
        <v>41</v>
      </c>
      <c r="AB75" s="27" t="s">
        <v>41</v>
      </c>
      <c r="AC75" s="27" t="s">
        <v>41</v>
      </c>
      <c r="AD75" s="27" t="s">
        <v>41</v>
      </c>
      <c r="AE75" s="27" t="s">
        <v>41</v>
      </c>
      <c r="AF75" s="27" t="s">
        <v>41</v>
      </c>
      <c r="AG75" s="27" t="s">
        <v>41</v>
      </c>
      <c r="AH75" s="27" t="s">
        <v>41</v>
      </c>
      <c r="AI75" s="27" t="s">
        <v>41</v>
      </c>
      <c r="AJ75" s="27" t="s">
        <v>41</v>
      </c>
      <c r="AK75" s="27" t="s">
        <v>41</v>
      </c>
      <c r="AL75" s="27" t="s">
        <v>41</v>
      </c>
      <c r="AM75" s="27" t="s">
        <v>41</v>
      </c>
      <c r="AN75" s="27" t="s">
        <v>41</v>
      </c>
      <c r="AO75" s="27">
        <v>3</v>
      </c>
      <c r="AP75" s="27">
        <v>4</v>
      </c>
      <c r="AQ75" s="27" t="s">
        <v>41</v>
      </c>
      <c r="AR75" s="28" t="s">
        <v>41</v>
      </c>
      <c r="AS75" s="27" t="s">
        <v>252</v>
      </c>
      <c r="AT75" s="27">
        <v>7</v>
      </c>
      <c r="AU75" s="82">
        <v>0.5</v>
      </c>
      <c r="AV75" s="86" t="s">
        <v>41</v>
      </c>
      <c r="AW75" s="28" t="s">
        <v>45</v>
      </c>
      <c r="AX75" s="29">
        <f>AVERAGE(O75:Q75)+0.25*MAX(0,(COUNT(U75,W75,Y75,AA75,AC75,AE75,AG75,AI75,AK75,AM75,AO75,AQ75)-3))+IF(AU75&gt;0.55,0.25,0)+IF(MAX(U75,W75,Y75,AA75,AC75,AE75,AG75,AI75,AK75,AM75,AO75,AQ75)&gt;5,0.25,0)</f>
        <v>3.25</v>
      </c>
      <c r="AY75" s="30" t="str">
        <f>IF(AX75&gt;9,"SuperStar",IF(AX75&gt;8,"Star",IF(AX75&gt;6.5,"GoodReg",IF(AX75&gt;5,"Reg",IF(AX75&gt;4,"Bench","Minors")))))</f>
        <v>Minors</v>
      </c>
      <c r="AZ75" s="30">
        <f>AVERAGE(R75:T75)+0.25*MAX(0,(COUNT(V75,X75,Z75,AB75,AD75,AF75,AH75,AJ75,AL75,AN75,AP75,AR75)-3))+IF(AU75&gt;0.55,0.25,0)+IF(MAX(V75,X75,Z75,AB75,AD75,AF75,AH75,AJ75,AL75,AN75,AP75,AR75)&gt;5,0.25,0)</f>
        <v>4.25</v>
      </c>
      <c r="BA75" s="30" t="str">
        <f>IF(AZ75&gt;9,"SuperStar",IF(AZ75&gt;8,"Star",IF(AZ75&gt;6.5,"GoodReg",IF(AZ75&gt;5,"Reg",IF(AZ75&gt;4,"Bench","Minors")))))</f>
        <v>Bench</v>
      </c>
      <c r="BB75" s="30">
        <f>MIN(AX75+(MAX(0,25-S75))^1.5,AZ75)</f>
        <v>4.25</v>
      </c>
      <c r="BC75" s="30" t="str">
        <f>IF(BB75&gt;9,"SuperStar",IF(BB75&gt;8,"Star",IF(BB75&gt;6.5,"GoodReg",IF(BB75&gt;5,"Reg",IF(BB75&gt;4,"Bench","Minors")))))</f>
        <v>Bench</v>
      </c>
      <c r="BD75" s="108">
        <f>COUNT(U75:AR75)/2</f>
        <v>3</v>
      </c>
      <c r="BE75" s="109">
        <f>COUNTIF(U75:AR75,"&gt;5")/2</f>
        <v>1</v>
      </c>
      <c r="BF75" s="27" t="str">
        <f>IF(AW75=1,"Yes","")</f>
        <v/>
      </c>
      <c r="BG75" s="27" t="str">
        <f>IF(A75="ML","There",IF(AVERAGE($R75:$T75)&gt;=6,"Likely",IF(AVERAGE($R75:$T75)&gt;=4,"Possible","Unlikely")))</f>
        <v>Possible</v>
      </c>
      <c r="BH75" t="str">
        <f>IF(AVERAGE(O75:Q75)&gt;=5.5,"ML",IF(AVERAGE(O75:Q75)&gt;=4.5,"AAA",IF(AVERAGE(O75:Q75)&gt;=4,"AA",IF(AVERAGE(O75:Q75)&gt;=3.5,"A","SS-A"))))</f>
        <v>SS-A</v>
      </c>
      <c r="BI75">
        <f>SUM(O75:Q75)</f>
        <v>9</v>
      </c>
      <c r="BJ75">
        <f>SUM(R75:T75)</f>
        <v>12</v>
      </c>
      <c r="BK75">
        <f>O75-R75</f>
        <v>-1</v>
      </c>
      <c r="BL75">
        <f>P75-S75</f>
        <v>-1</v>
      </c>
      <c r="BM75">
        <f>Q75-T75</f>
        <v>-1</v>
      </c>
      <c r="BN75">
        <f>SUM(BK75:BM75)</f>
        <v>-3</v>
      </c>
    </row>
    <row r="76" spans="1:66">
      <c r="A76" s="96" t="s">
        <v>327</v>
      </c>
      <c r="B76" t="s">
        <v>110</v>
      </c>
      <c r="C76" t="str">
        <f>IF(OR(OR(M76="Very High",M76="High"),AND(OR(M76="Very High",M76="High",M76="Normal"),OR(N76="Very High",N76="High"))),"K","T")</f>
        <v>K</v>
      </c>
      <c r="D76" s="27" t="s">
        <v>110</v>
      </c>
      <c r="E76" s="27" t="s">
        <v>641</v>
      </c>
      <c r="F76" s="27" t="s">
        <v>383</v>
      </c>
      <c r="G76" s="27" t="s">
        <v>327</v>
      </c>
      <c r="H76" s="27">
        <v>18</v>
      </c>
      <c r="I76" s="27" t="s">
        <v>109</v>
      </c>
      <c r="J76" s="28" t="s">
        <v>107</v>
      </c>
      <c r="K76" s="27" t="s">
        <v>47</v>
      </c>
      <c r="L76" s="27" t="s">
        <v>42</v>
      </c>
      <c r="M76" s="27" t="s">
        <v>228</v>
      </c>
      <c r="N76" s="28" t="s">
        <v>231</v>
      </c>
      <c r="O76" s="27">
        <v>3</v>
      </c>
      <c r="P76" s="27">
        <v>4</v>
      </c>
      <c r="Q76" s="28">
        <v>1</v>
      </c>
      <c r="R76" s="27">
        <v>4</v>
      </c>
      <c r="S76" s="27">
        <v>5</v>
      </c>
      <c r="T76" s="28">
        <v>5</v>
      </c>
      <c r="U76" s="27">
        <v>3</v>
      </c>
      <c r="V76" s="27">
        <v>5</v>
      </c>
      <c r="W76" s="27">
        <v>1</v>
      </c>
      <c r="X76" s="27">
        <v>2</v>
      </c>
      <c r="Y76" s="27" t="s">
        <v>41</v>
      </c>
      <c r="Z76" s="27" t="s">
        <v>41</v>
      </c>
      <c r="AA76" s="27" t="s">
        <v>41</v>
      </c>
      <c r="AB76" s="27" t="s">
        <v>41</v>
      </c>
      <c r="AC76" s="27" t="s">
        <v>41</v>
      </c>
      <c r="AD76" s="27" t="s">
        <v>41</v>
      </c>
      <c r="AE76" s="27" t="s">
        <v>41</v>
      </c>
      <c r="AF76" s="27" t="s">
        <v>41</v>
      </c>
      <c r="AG76" s="27">
        <v>3</v>
      </c>
      <c r="AH76" s="27">
        <v>4</v>
      </c>
      <c r="AI76" s="27" t="s">
        <v>41</v>
      </c>
      <c r="AJ76" s="27" t="s">
        <v>41</v>
      </c>
      <c r="AK76" s="27" t="s">
        <v>41</v>
      </c>
      <c r="AL76" s="27" t="s">
        <v>41</v>
      </c>
      <c r="AM76" s="27" t="s">
        <v>41</v>
      </c>
      <c r="AN76" s="27" t="s">
        <v>41</v>
      </c>
      <c r="AO76" s="27" t="s">
        <v>41</v>
      </c>
      <c r="AP76" s="27" t="s">
        <v>41</v>
      </c>
      <c r="AQ76" s="27" t="s">
        <v>41</v>
      </c>
      <c r="AR76" s="28" t="s">
        <v>41</v>
      </c>
      <c r="AS76" s="27" t="s">
        <v>7</v>
      </c>
      <c r="AT76" s="27">
        <v>5</v>
      </c>
      <c r="AU76" s="82">
        <v>0.48</v>
      </c>
      <c r="AV76" s="86" t="s">
        <v>41</v>
      </c>
      <c r="AW76" s="28">
        <v>0</v>
      </c>
      <c r="AX76" s="29">
        <f>AVERAGE(O76:Q76)+0.25*MAX(0,(COUNT(U76,W76,Y76,AA76,AC76,AE76,AG76,AI76,AK76,AM76,AO76,AQ76)-3))+IF(AU76&gt;0.55,0.25,0)+IF(MAX(U76,W76,Y76,AA76,AC76,AE76,AG76,AI76,AK76,AM76,AO76,AQ76)&gt;5,0.25,0)</f>
        <v>2.6666666666666665</v>
      </c>
      <c r="AY76" s="30" t="str">
        <f>IF(AX76&gt;9,"SuperStar",IF(AX76&gt;8,"Star",IF(AX76&gt;6.5,"GoodReg",IF(AX76&gt;5,"Reg",IF(AX76&gt;4,"Bench","Minors")))))</f>
        <v>Minors</v>
      </c>
      <c r="AZ76" s="30">
        <f>AVERAGE(R76:T76)+0.25*MAX(0,(COUNT(V76,X76,Z76,AB76,AD76,AF76,AH76,AJ76,AL76,AN76,AP76,AR76)-3))+IF(AU76&gt;0.55,0.25,0)+IF(MAX(V76,X76,Z76,AB76,AD76,AF76,AH76,AJ76,AL76,AN76,AP76,AR76)&gt;5,0.25,0)</f>
        <v>4.666666666666667</v>
      </c>
      <c r="BA76" s="30" t="str">
        <f>IF(AZ76&gt;9,"SuperStar",IF(AZ76&gt;8,"Star",IF(AZ76&gt;6.5,"GoodReg",IF(AZ76&gt;5,"Reg",IF(AZ76&gt;4,"Bench","Minors")))))</f>
        <v>Bench</v>
      </c>
      <c r="BB76" s="30">
        <f>MIN(AX76+(MAX(0,25-S76))^1.5,AZ76)</f>
        <v>4.666666666666667</v>
      </c>
      <c r="BC76" s="30" t="str">
        <f>IF(BB76&gt;9,"SuperStar",IF(BB76&gt;8,"Star",IF(BB76&gt;6.5,"GoodReg",IF(BB76&gt;5,"Reg",IF(BB76&gt;4,"Bench","Minors")))))</f>
        <v>Bench</v>
      </c>
      <c r="BD76" s="108">
        <f>COUNT(U76:AR76)/2</f>
        <v>3</v>
      </c>
      <c r="BE76" s="109">
        <f>COUNTIF(U76:AR76,"&gt;5")/2</f>
        <v>0</v>
      </c>
      <c r="BF76" s="27" t="str">
        <f>IF(AW76=1,"Yes","")</f>
        <v/>
      </c>
      <c r="BG76" s="27" t="str">
        <f>IF(A76="ML","There",IF(AVERAGE($R76:$T76)&gt;=6,"Likely",IF(AVERAGE($R76:$T76)&gt;=4,"Possible","Unlikely")))</f>
        <v>Possible</v>
      </c>
      <c r="BH76" t="str">
        <f>IF(AVERAGE(O76:Q76)&gt;=5.5,"ML",IF(AVERAGE(O76:Q76)&gt;=4.5,"AAA",IF(AVERAGE(O76:Q76)&gt;=4,"AA",IF(AVERAGE(O76:Q76)&gt;=3.5,"A","SS-A"))))</f>
        <v>SS-A</v>
      </c>
      <c r="BI76">
        <f>SUM(O76:Q76)</f>
        <v>8</v>
      </c>
      <c r="BJ76">
        <f>SUM(R76:T76)</f>
        <v>14</v>
      </c>
      <c r="BK76">
        <f>O76-R76</f>
        <v>-1</v>
      </c>
      <c r="BL76">
        <f>P76-S76</f>
        <v>-1</v>
      </c>
      <c r="BM76">
        <f>Q76-T76</f>
        <v>-4</v>
      </c>
      <c r="BN76">
        <f>SUM(BK76:BM76)</f>
        <v>-6</v>
      </c>
    </row>
    <row r="77" spans="1:66">
      <c r="A77" s="96" t="s">
        <v>327</v>
      </c>
      <c r="B77" t="s">
        <v>110</v>
      </c>
      <c r="C77" t="str">
        <f>IF(OR(OR(M77="Very High",M77="High"),AND(OR(M77="Very High",M77="High",M77="Normal"),OR(N77="Very High",N77="High"))),"K","T")</f>
        <v>T</v>
      </c>
      <c r="D77" s="27" t="s">
        <v>110</v>
      </c>
      <c r="E77" s="27" t="s">
        <v>642</v>
      </c>
      <c r="F77" s="27" t="s">
        <v>383</v>
      </c>
      <c r="G77" s="27" t="s">
        <v>327</v>
      </c>
      <c r="H77" s="27">
        <v>18</v>
      </c>
      <c r="I77" s="27" t="s">
        <v>109</v>
      </c>
      <c r="J77" s="28" t="s">
        <v>107</v>
      </c>
      <c r="K77" s="27" t="s">
        <v>47</v>
      </c>
      <c r="L77" s="27" t="s">
        <v>42</v>
      </c>
      <c r="M77" s="27" t="s">
        <v>232</v>
      </c>
      <c r="N77" s="28" t="s">
        <v>229</v>
      </c>
      <c r="O77" s="27">
        <v>2</v>
      </c>
      <c r="P77" s="27">
        <v>4</v>
      </c>
      <c r="Q77" s="28">
        <v>1</v>
      </c>
      <c r="R77" s="27">
        <v>4</v>
      </c>
      <c r="S77" s="27">
        <v>4</v>
      </c>
      <c r="T77" s="28">
        <v>6</v>
      </c>
      <c r="U77" s="27">
        <v>4</v>
      </c>
      <c r="V77" s="27">
        <v>5</v>
      </c>
      <c r="W77" s="27">
        <v>2</v>
      </c>
      <c r="X77" s="27">
        <v>4</v>
      </c>
      <c r="Y77" s="27" t="s">
        <v>41</v>
      </c>
      <c r="Z77" s="27" t="s">
        <v>41</v>
      </c>
      <c r="AA77" s="27">
        <v>3</v>
      </c>
      <c r="AB77" s="27">
        <v>4</v>
      </c>
      <c r="AC77" s="27" t="s">
        <v>41</v>
      </c>
      <c r="AD77" s="27" t="s">
        <v>41</v>
      </c>
      <c r="AE77" s="27" t="s">
        <v>41</v>
      </c>
      <c r="AF77" s="27" t="s">
        <v>41</v>
      </c>
      <c r="AG77" s="27" t="s">
        <v>41</v>
      </c>
      <c r="AH77" s="27" t="s">
        <v>41</v>
      </c>
      <c r="AI77" s="27" t="s">
        <v>41</v>
      </c>
      <c r="AJ77" s="27" t="s">
        <v>41</v>
      </c>
      <c r="AK77" s="27" t="s">
        <v>41</v>
      </c>
      <c r="AL77" s="27" t="s">
        <v>41</v>
      </c>
      <c r="AM77" s="27" t="s">
        <v>41</v>
      </c>
      <c r="AN77" s="27" t="s">
        <v>41</v>
      </c>
      <c r="AO77" s="27" t="s">
        <v>41</v>
      </c>
      <c r="AP77" s="27" t="s">
        <v>41</v>
      </c>
      <c r="AQ77" s="27" t="s">
        <v>41</v>
      </c>
      <c r="AR77" s="28" t="s">
        <v>41</v>
      </c>
      <c r="AS77" s="27" t="s">
        <v>3</v>
      </c>
      <c r="AT77" s="27">
        <v>5</v>
      </c>
      <c r="AU77" s="82">
        <v>0.49</v>
      </c>
      <c r="AV77" s="86" t="s">
        <v>41</v>
      </c>
      <c r="AW77" s="28">
        <v>0</v>
      </c>
      <c r="AX77" s="29">
        <f>AVERAGE(O77:Q77)+0.25*MAX(0,(COUNT(U77,W77,Y77,AA77,AC77,AE77,AG77,AI77,AK77,AM77,AO77,AQ77)-3))+IF(AU77&gt;0.55,0.25,0)+IF(MAX(U77,W77,Y77,AA77,AC77,AE77,AG77,AI77,AK77,AM77,AO77,AQ77)&gt;5,0.25,0)</f>
        <v>2.3333333333333335</v>
      </c>
      <c r="AY77" s="30" t="str">
        <f>IF(AX77&gt;9,"SuperStar",IF(AX77&gt;8,"Star",IF(AX77&gt;6.5,"GoodReg",IF(AX77&gt;5,"Reg",IF(AX77&gt;4,"Bench","Minors")))))</f>
        <v>Minors</v>
      </c>
      <c r="AZ77" s="30">
        <f>AVERAGE(R77:T77)+0.25*MAX(0,(COUNT(V77,X77,Z77,AB77,AD77,AF77,AH77,AJ77,AL77,AN77,AP77,AR77)-3))+IF(AU77&gt;0.55,0.25,0)+IF(MAX(V77,X77,Z77,AB77,AD77,AF77,AH77,AJ77,AL77,AN77,AP77,AR77)&gt;5,0.25,0)</f>
        <v>4.666666666666667</v>
      </c>
      <c r="BA77" s="30" t="str">
        <f>IF(AZ77&gt;9,"SuperStar",IF(AZ77&gt;8,"Star",IF(AZ77&gt;6.5,"GoodReg",IF(AZ77&gt;5,"Reg",IF(AZ77&gt;4,"Bench","Minors")))))</f>
        <v>Bench</v>
      </c>
      <c r="BB77" s="30">
        <f>MIN(AX77+(MAX(0,25-S77))^1.5,AZ77)</f>
        <v>4.666666666666667</v>
      </c>
      <c r="BC77" s="30" t="str">
        <f>IF(BB77&gt;9,"SuperStar",IF(BB77&gt;8,"Star",IF(BB77&gt;6.5,"GoodReg",IF(BB77&gt;5,"Reg",IF(BB77&gt;4,"Bench","Minors")))))</f>
        <v>Bench</v>
      </c>
      <c r="BD77" s="108">
        <f>COUNT(U77:AR77)/2</f>
        <v>3</v>
      </c>
      <c r="BE77" s="109">
        <f>COUNTIF(U77:AR77,"&gt;5")/2</f>
        <v>0</v>
      </c>
      <c r="BF77" s="27" t="str">
        <f>IF(AW77=1,"Yes","")</f>
        <v/>
      </c>
      <c r="BG77" s="27" t="str">
        <f>IF(A77="ML","There",IF(AVERAGE($R77:$T77)&gt;=6,"Likely",IF(AVERAGE($R77:$T77)&gt;=4,"Possible","Unlikely")))</f>
        <v>Possible</v>
      </c>
      <c r="BH77" t="str">
        <f>IF(AVERAGE(O77:Q77)&gt;=5.5,"ML",IF(AVERAGE(O77:Q77)&gt;=4.5,"AAA",IF(AVERAGE(O77:Q77)&gt;=4,"AA",IF(AVERAGE(O77:Q77)&gt;=3.5,"A","SS-A"))))</f>
        <v>SS-A</v>
      </c>
      <c r="BI77">
        <f>SUM(O77:Q77)</f>
        <v>7</v>
      </c>
      <c r="BJ77">
        <f>SUM(R77:T77)</f>
        <v>14</v>
      </c>
      <c r="BK77">
        <f>O77-R77</f>
        <v>-2</v>
      </c>
      <c r="BL77">
        <f>P77-S77</f>
        <v>0</v>
      </c>
      <c r="BM77">
        <f>Q77-T77</f>
        <v>-5</v>
      </c>
      <c r="BN77">
        <f>SUM(BK77:BM77)</f>
        <v>-7</v>
      </c>
    </row>
    <row r="78" spans="1:66">
      <c r="A78" s="96" t="s">
        <v>327</v>
      </c>
      <c r="B78" t="s">
        <v>584</v>
      </c>
      <c r="C78" t="str">
        <f>IF(OR(OR(M78="Very High",M78="High"),AND(OR(M78="Very High",M78="High",M78="Normal"),OR(N78="Very High",N78="High"))),"K","T")</f>
        <v>K</v>
      </c>
      <c r="D78" s="27" t="s">
        <v>111</v>
      </c>
      <c r="E78" s="27" t="s">
        <v>639</v>
      </c>
      <c r="F78" s="27" t="s">
        <v>383</v>
      </c>
      <c r="G78" s="27" t="s">
        <v>327</v>
      </c>
      <c r="H78" s="27">
        <v>21</v>
      </c>
      <c r="I78" s="27" t="s">
        <v>106</v>
      </c>
      <c r="J78" s="28" t="s">
        <v>106</v>
      </c>
      <c r="K78" s="27" t="s">
        <v>47</v>
      </c>
      <c r="L78" s="27" t="s">
        <v>42</v>
      </c>
      <c r="M78" s="27" t="s">
        <v>228</v>
      </c>
      <c r="N78" s="28" t="s">
        <v>228</v>
      </c>
      <c r="O78" s="27">
        <v>5</v>
      </c>
      <c r="P78" s="27">
        <v>4</v>
      </c>
      <c r="Q78" s="28">
        <v>1</v>
      </c>
      <c r="R78" s="27">
        <v>6</v>
      </c>
      <c r="S78" s="27">
        <v>4</v>
      </c>
      <c r="T78" s="28">
        <v>4</v>
      </c>
      <c r="U78" s="27">
        <v>6</v>
      </c>
      <c r="V78" s="27">
        <v>7</v>
      </c>
      <c r="W78" s="27">
        <v>4</v>
      </c>
      <c r="X78" s="27">
        <v>4</v>
      </c>
      <c r="Y78" s="27" t="s">
        <v>41</v>
      </c>
      <c r="Z78" s="27" t="s">
        <v>41</v>
      </c>
      <c r="AA78" s="27">
        <v>4</v>
      </c>
      <c r="AB78" s="27">
        <v>5</v>
      </c>
      <c r="AC78" s="27" t="s">
        <v>41</v>
      </c>
      <c r="AD78" s="27" t="s">
        <v>41</v>
      </c>
      <c r="AE78" s="27" t="s">
        <v>41</v>
      </c>
      <c r="AF78" s="27" t="s">
        <v>41</v>
      </c>
      <c r="AG78" s="27">
        <v>5</v>
      </c>
      <c r="AH78" s="27">
        <v>6</v>
      </c>
      <c r="AI78" s="27" t="s">
        <v>41</v>
      </c>
      <c r="AJ78" s="27" t="s">
        <v>41</v>
      </c>
      <c r="AK78" s="27" t="s">
        <v>41</v>
      </c>
      <c r="AL78" s="27" t="s">
        <v>41</v>
      </c>
      <c r="AM78" s="27" t="s">
        <v>41</v>
      </c>
      <c r="AN78" s="27" t="s">
        <v>41</v>
      </c>
      <c r="AO78" s="27" t="s">
        <v>41</v>
      </c>
      <c r="AP78" s="27" t="s">
        <v>41</v>
      </c>
      <c r="AQ78" s="27" t="s">
        <v>41</v>
      </c>
      <c r="AR78" s="28" t="s">
        <v>41</v>
      </c>
      <c r="AS78" s="27" t="s">
        <v>252</v>
      </c>
      <c r="AT78" s="27">
        <v>6</v>
      </c>
      <c r="AU78" s="82">
        <v>0.5</v>
      </c>
      <c r="AV78" s="86" t="s">
        <v>41</v>
      </c>
      <c r="AW78" s="28">
        <v>0</v>
      </c>
      <c r="AX78" s="29">
        <f>AVERAGE(O78:Q78)+0.25*MAX(0,(COUNT(U78,W78,Y78,AA78,AC78,AE78,AG78,AI78,AK78,AM78,AO78,AQ78)-3))+IF(AU78&gt;0.55,0.25,0)+IF(MAX(U78,W78,Y78,AA78,AC78,AE78,AG78,AI78,AK78,AM78,AO78,AQ78)&gt;5,0.25,0)</f>
        <v>3.8333333333333335</v>
      </c>
      <c r="AY78" s="30" t="str">
        <f>IF(AX78&gt;9,"SuperStar",IF(AX78&gt;8,"Star",IF(AX78&gt;6.5,"GoodReg",IF(AX78&gt;5,"Reg",IF(AX78&gt;4,"Bench","Minors")))))</f>
        <v>Minors</v>
      </c>
      <c r="AZ78" s="30">
        <f>AVERAGE(R78:T78)+0.25*MAX(0,(COUNT(V78,X78,Z78,AB78,AD78,AF78,AH78,AJ78,AL78,AN78,AP78,AR78)-3))+IF(AU78&gt;0.55,0.25,0)+IF(MAX(V78,X78,Z78,AB78,AD78,AF78,AH78,AJ78,AL78,AN78,AP78,AR78)&gt;5,0.25,0)</f>
        <v>5.166666666666667</v>
      </c>
      <c r="BA78" s="30" t="str">
        <f>IF(AZ78&gt;9,"SuperStar",IF(AZ78&gt;8,"Star",IF(AZ78&gt;6.5,"GoodReg",IF(AZ78&gt;5,"Reg",IF(AZ78&gt;4,"Bench","Minors")))))</f>
        <v>Reg</v>
      </c>
      <c r="BB78" s="30">
        <f>MIN(AX78+(MAX(0,25-S78))^1.5,AZ78)</f>
        <v>5.166666666666667</v>
      </c>
      <c r="BC78" s="30" t="str">
        <f>IF(BB78&gt;9,"SuperStar",IF(BB78&gt;8,"Star",IF(BB78&gt;6.5,"GoodReg",IF(BB78&gt;5,"Reg",IF(BB78&gt;4,"Bench","Minors")))))</f>
        <v>Reg</v>
      </c>
      <c r="BD78" s="108">
        <f>COUNT(U78:AR78)/2</f>
        <v>4</v>
      </c>
      <c r="BE78" s="109">
        <f>COUNTIF(U78:AR78,"&gt;5")/2</f>
        <v>1.5</v>
      </c>
      <c r="BF78" s="27" t="str">
        <f>IF(AW78=1,"Yes","")</f>
        <v/>
      </c>
      <c r="BG78" s="27" t="str">
        <f>IF(A78="ML","There",IF(AVERAGE($R78:$T78)&gt;=6,"Likely",IF(AVERAGE($R78:$T78)&gt;=4,"Possible","Unlikely")))</f>
        <v>Possible</v>
      </c>
      <c r="BH78" t="str">
        <f>IF(AVERAGE(O78:Q78)&gt;=5.5,"ML",IF(AVERAGE(O78:Q78)&gt;=4.5,"AAA",IF(AVERAGE(O78:Q78)&gt;=4,"AA",IF(AVERAGE(O78:Q78)&gt;=3.5,"A","SS-A"))))</f>
        <v>SS-A</v>
      </c>
      <c r="BI78">
        <f>SUM(O78:Q78)</f>
        <v>10</v>
      </c>
      <c r="BJ78">
        <f>SUM(R78:T78)</f>
        <v>14</v>
      </c>
      <c r="BK78">
        <f>O78-R78</f>
        <v>-1</v>
      </c>
      <c r="BL78">
        <f>P78-S78</f>
        <v>0</v>
      </c>
      <c r="BM78">
        <f>Q78-T78</f>
        <v>-3</v>
      </c>
      <c r="BN78">
        <f>SUM(BK78:BM78)</f>
        <v>-4</v>
      </c>
    </row>
    <row r="79" spans="1:66">
      <c r="A79" s="96" t="s">
        <v>645</v>
      </c>
      <c r="B79" t="s">
        <v>111</v>
      </c>
      <c r="C79" t="str">
        <f>IF(OR(OR(M79="Very High",M79="High"),AND(OR(M79="Very High",M79="High",M79="Normal"),OR(N79="Very High",N79="High"))),"K","T")</f>
        <v>T</v>
      </c>
      <c r="D79" s="27" t="s">
        <v>110</v>
      </c>
      <c r="E79" s="27" t="s">
        <v>407</v>
      </c>
      <c r="F79" s="27" t="s">
        <v>385</v>
      </c>
      <c r="G79" s="27" t="s">
        <v>214</v>
      </c>
      <c r="H79" s="27">
        <v>24</v>
      </c>
      <c r="I79" s="27" t="s">
        <v>107</v>
      </c>
      <c r="J79" s="28" t="s">
        <v>107</v>
      </c>
      <c r="K79" s="27" t="s">
        <v>47</v>
      </c>
      <c r="L79" s="27" t="s">
        <v>47</v>
      </c>
      <c r="M79" s="27" t="s">
        <v>231</v>
      </c>
      <c r="N79" s="28" t="s">
        <v>231</v>
      </c>
      <c r="O79" s="27">
        <v>6</v>
      </c>
      <c r="P79" s="27">
        <v>3</v>
      </c>
      <c r="Q79" s="28">
        <v>2</v>
      </c>
      <c r="R79" s="27">
        <v>6</v>
      </c>
      <c r="S79" s="27">
        <v>3</v>
      </c>
      <c r="T79" s="28">
        <v>2</v>
      </c>
      <c r="U79" s="27">
        <v>6</v>
      </c>
      <c r="V79" s="27">
        <v>6</v>
      </c>
      <c r="W79" s="27">
        <v>3</v>
      </c>
      <c r="X79" s="27">
        <v>4</v>
      </c>
      <c r="Y79" s="27" t="s">
        <v>41</v>
      </c>
      <c r="Z79" s="27" t="s">
        <v>41</v>
      </c>
      <c r="AA79" s="27" t="s">
        <v>41</v>
      </c>
      <c r="AB79" s="27" t="s">
        <v>41</v>
      </c>
      <c r="AC79" s="27" t="s">
        <v>41</v>
      </c>
      <c r="AD79" s="27" t="s">
        <v>41</v>
      </c>
      <c r="AE79" s="27" t="s">
        <v>41</v>
      </c>
      <c r="AF79" s="27" t="s">
        <v>41</v>
      </c>
      <c r="AG79" s="27">
        <v>6</v>
      </c>
      <c r="AH79" s="27">
        <v>6</v>
      </c>
      <c r="AI79" s="27" t="s">
        <v>41</v>
      </c>
      <c r="AJ79" s="27" t="s">
        <v>41</v>
      </c>
      <c r="AK79" s="27" t="s">
        <v>41</v>
      </c>
      <c r="AL79" s="27" t="s">
        <v>41</v>
      </c>
      <c r="AM79" s="27" t="s">
        <v>41</v>
      </c>
      <c r="AN79" s="27" t="s">
        <v>41</v>
      </c>
      <c r="AO79" s="27" t="s">
        <v>41</v>
      </c>
      <c r="AP79" s="27" t="s">
        <v>41</v>
      </c>
      <c r="AQ79" s="27" t="s">
        <v>41</v>
      </c>
      <c r="AR79" s="28" t="s">
        <v>41</v>
      </c>
      <c r="AS79" s="27" t="s">
        <v>14</v>
      </c>
      <c r="AT79" s="27">
        <v>7</v>
      </c>
      <c r="AU79" s="82">
        <v>0.35</v>
      </c>
      <c r="AV79" s="86" t="s">
        <v>41</v>
      </c>
      <c r="AW79" s="28">
        <v>0</v>
      </c>
      <c r="AX79" s="29">
        <f>AVERAGE(O79:Q79)+0.25*MAX(0,(COUNT(U79,W79,Y79,AA79,AC79,AE79,AG79,AI79,AK79,AM79,AO79,AQ79)-3))+IF(AU79&gt;0.55,0.25,0)+IF(MAX(U79,W79,Y79,AA79,AC79,AE79,AG79,AI79,AK79,AM79,AO79,AQ79)&gt;5,0.25,0)</f>
        <v>3.9166666666666665</v>
      </c>
      <c r="AY79" s="30" t="str">
        <f>IF(AX79&gt;9,"SuperStar",IF(AX79&gt;8,"Star",IF(AX79&gt;6.5,"GoodReg",IF(AX79&gt;5,"Reg",IF(AX79&gt;4,"Bench","Minors")))))</f>
        <v>Minors</v>
      </c>
      <c r="AZ79" s="30">
        <f>AVERAGE(R79:T79)+0.25*MAX(0,(COUNT(V79,X79,Z79,AB79,AD79,AF79,AH79,AJ79,AL79,AN79,AP79,AR79)-3))+IF(AU79&gt;0.55,0.25,0)+IF(MAX(V79,X79,Z79,AB79,AD79,AF79,AH79,AJ79,AL79,AN79,AP79,AR79)&gt;5,0.25,0)</f>
        <v>3.9166666666666665</v>
      </c>
      <c r="BA79" s="30" t="str">
        <f>IF(AZ79&gt;9,"SuperStar",IF(AZ79&gt;8,"Star",IF(AZ79&gt;6.5,"GoodReg",IF(AZ79&gt;5,"Reg",IF(AZ79&gt;4,"Bench","Minors")))))</f>
        <v>Minors</v>
      </c>
      <c r="BB79" s="30">
        <f>MIN(AX79+(MAX(0,25-S79))^1.5,AZ79)</f>
        <v>3.9166666666666665</v>
      </c>
      <c r="BC79" s="30" t="str">
        <f>IF(BB79&gt;9,"SuperStar",IF(BB79&gt;8,"Star",IF(BB79&gt;6.5,"GoodReg",IF(BB79&gt;5,"Reg",IF(BB79&gt;4,"Bench","Minors")))))</f>
        <v>Minors</v>
      </c>
      <c r="BD79" s="108">
        <f>COUNT(U79:AR79)/2</f>
        <v>3</v>
      </c>
      <c r="BE79" s="109">
        <f>COUNTIF(U79:AR79,"&gt;5")/2</f>
        <v>2</v>
      </c>
      <c r="BF79" s="27" t="str">
        <f>IF(AW79=1,"Yes","")</f>
        <v/>
      </c>
      <c r="BG79" s="27" t="str">
        <f>IF(A79="ML","There",IF(AVERAGE($R79:$T79)&gt;=6,"Likely",IF(AVERAGE($R79:$T79)&gt;=4,"Possible","Unlikely")))</f>
        <v>Unlikely</v>
      </c>
      <c r="BH79" t="str">
        <f>IF(AVERAGE(O79:Q79)&gt;=5.5,"ML",IF(AVERAGE(O79:Q79)&gt;=4.5,"AAA",IF(AVERAGE(O79:Q79)&gt;=4,"AA",IF(AVERAGE(O79:Q79)&gt;=3.5,"A","SS-A"))))</f>
        <v>A</v>
      </c>
      <c r="BI79">
        <f>SUM(O79:Q79)</f>
        <v>11</v>
      </c>
      <c r="BJ79">
        <f>SUM(R79:T79)</f>
        <v>11</v>
      </c>
      <c r="BK79">
        <f>O79-R79</f>
        <v>0</v>
      </c>
      <c r="BL79">
        <f>P79-S79</f>
        <v>0</v>
      </c>
      <c r="BM79">
        <f>Q79-T79</f>
        <v>0</v>
      </c>
      <c r="BN79">
        <f>SUM(BK79:BM79)</f>
        <v>0</v>
      </c>
    </row>
    <row r="80" spans="1:66">
      <c r="A80" s="96" t="s">
        <v>645</v>
      </c>
      <c r="B80" t="s">
        <v>110</v>
      </c>
      <c r="C80" t="str">
        <f>IF(OR(OR(M80="Very High",M80="High"),AND(OR(M80="Very High",M80="High",M80="Normal"),OR(N80="Very High",N80="High"))),"K","T")</f>
        <v>K</v>
      </c>
      <c r="D80" s="27" t="s">
        <v>110</v>
      </c>
      <c r="E80" s="27" t="s">
        <v>8</v>
      </c>
      <c r="F80" s="27" t="s">
        <v>386</v>
      </c>
      <c r="G80" s="27" t="s">
        <v>215</v>
      </c>
      <c r="H80" s="27">
        <v>27</v>
      </c>
      <c r="I80" s="27" t="s">
        <v>106</v>
      </c>
      <c r="J80" s="28" t="s">
        <v>106</v>
      </c>
      <c r="K80" s="27" t="s">
        <v>47</v>
      </c>
      <c r="L80" s="27" t="s">
        <v>42</v>
      </c>
      <c r="M80" s="27" t="s">
        <v>228</v>
      </c>
      <c r="N80" s="28" t="s">
        <v>229</v>
      </c>
      <c r="O80" s="27">
        <v>5</v>
      </c>
      <c r="P80" s="27">
        <v>8</v>
      </c>
      <c r="Q80" s="28">
        <v>2</v>
      </c>
      <c r="R80" s="27">
        <v>5</v>
      </c>
      <c r="S80" s="27">
        <v>8</v>
      </c>
      <c r="T80" s="28">
        <v>3</v>
      </c>
      <c r="U80" s="27">
        <v>5</v>
      </c>
      <c r="V80" s="27">
        <v>5</v>
      </c>
      <c r="W80" s="27">
        <v>4</v>
      </c>
      <c r="X80" s="27">
        <v>4</v>
      </c>
      <c r="Y80" s="27" t="s">
        <v>41</v>
      </c>
      <c r="Z80" s="27" t="s">
        <v>41</v>
      </c>
      <c r="AA80" s="27">
        <v>3</v>
      </c>
      <c r="AB80" s="27">
        <v>3</v>
      </c>
      <c r="AC80" s="27">
        <v>6</v>
      </c>
      <c r="AD80" s="27">
        <v>6</v>
      </c>
      <c r="AE80" s="27" t="s">
        <v>41</v>
      </c>
      <c r="AF80" s="27" t="s">
        <v>41</v>
      </c>
      <c r="AG80" s="27">
        <v>5</v>
      </c>
      <c r="AH80" s="27">
        <v>5</v>
      </c>
      <c r="AI80" s="27" t="s">
        <v>41</v>
      </c>
      <c r="AJ80" s="27" t="s">
        <v>41</v>
      </c>
      <c r="AK80" s="27">
        <v>5</v>
      </c>
      <c r="AL80" s="27">
        <v>5</v>
      </c>
      <c r="AM80" s="27" t="s">
        <v>41</v>
      </c>
      <c r="AN80" s="27" t="s">
        <v>41</v>
      </c>
      <c r="AO80" s="27" t="s">
        <v>41</v>
      </c>
      <c r="AP80" s="27" t="s">
        <v>41</v>
      </c>
      <c r="AQ80" s="27" t="s">
        <v>41</v>
      </c>
      <c r="AR80" s="28" t="s">
        <v>41</v>
      </c>
      <c r="AS80" s="27" t="s">
        <v>6</v>
      </c>
      <c r="AT80" s="27">
        <v>2</v>
      </c>
      <c r="AU80" s="82">
        <v>0.56999999999999995</v>
      </c>
      <c r="AV80" s="86" t="s">
        <v>41</v>
      </c>
      <c r="AW80" s="28">
        <v>0</v>
      </c>
      <c r="AX80" s="29">
        <f>AVERAGE(O80:Q80)+0.25*MAX(0,(COUNT(U80,W80,Y80,AA80,AC80,AE80,AG80,AI80,AK80,AM80,AO80,AQ80)-3))+IF(AU80&gt;0.55,0.25,0)+IF(MAX(U80,W80,Y80,AA80,AC80,AE80,AG80,AI80,AK80,AM80,AO80,AQ80)&gt;5,0.25,0)</f>
        <v>6.25</v>
      </c>
      <c r="AY80" s="30" t="str">
        <f>IF(AX80&gt;9,"SuperStar",IF(AX80&gt;8,"Star",IF(AX80&gt;6.5,"GoodReg",IF(AX80&gt;5,"Reg",IF(AX80&gt;4,"Bench","Minors")))))</f>
        <v>Reg</v>
      </c>
      <c r="AZ80" s="30">
        <f>AVERAGE(R80:T80)+0.25*MAX(0,(COUNT(V80,X80,Z80,AB80,AD80,AF80,AH80,AJ80,AL80,AN80,AP80,AR80)-3))+IF(AU80&gt;0.55,0.25,0)+IF(MAX(V80,X80,Z80,AB80,AD80,AF80,AH80,AJ80,AL80,AN80,AP80,AR80)&gt;5,0.25,0)</f>
        <v>6.583333333333333</v>
      </c>
      <c r="BA80" s="30" t="str">
        <f>IF(AZ80&gt;9,"SuperStar",IF(AZ80&gt;8,"Star",IF(AZ80&gt;6.5,"GoodReg",IF(AZ80&gt;5,"Reg",IF(AZ80&gt;4,"Bench","Minors")))))</f>
        <v>GoodReg</v>
      </c>
      <c r="BB80" s="30">
        <f>MIN(AX80+(MAX(0,25-S80))^1.5,AZ80)</f>
        <v>6.583333333333333</v>
      </c>
      <c r="BC80" s="30" t="str">
        <f>IF(BB80&gt;9,"SuperStar",IF(BB80&gt;8,"Star",IF(BB80&gt;6.5,"GoodReg",IF(BB80&gt;5,"Reg",IF(BB80&gt;4,"Bench","Minors")))))</f>
        <v>GoodReg</v>
      </c>
      <c r="BD80" s="108">
        <f>COUNT(U80:AR80)/2</f>
        <v>6</v>
      </c>
      <c r="BE80" s="109">
        <f>COUNTIF(U80:AR80,"&gt;5")/2</f>
        <v>1</v>
      </c>
      <c r="BF80" s="27" t="str">
        <f>IF(AW80=1,"Yes","")</f>
        <v/>
      </c>
      <c r="BG80" s="27" t="str">
        <f>IF(A80="ML","There",IF(AVERAGE($R80:$T80)&gt;=6,"Likely",IF(AVERAGE($R80:$T80)&gt;=4,"Possible","Unlikely")))</f>
        <v>Possible</v>
      </c>
      <c r="BH80" t="str">
        <f>IF(AVERAGE(O80:Q80)&gt;=5.5,"ML",IF(AVERAGE(O80:Q80)&gt;=4.5,"AAA",IF(AVERAGE(O80:Q80)&gt;=4,"AA",IF(AVERAGE(O80:Q80)&gt;=3.5,"A","SS-A"))))</f>
        <v>AAA</v>
      </c>
      <c r="BI80">
        <f>SUM(O80:Q80)</f>
        <v>15</v>
      </c>
      <c r="BJ80">
        <f>SUM(R80:T80)</f>
        <v>16</v>
      </c>
      <c r="BK80">
        <f>O80-R80</f>
        <v>0</v>
      </c>
      <c r="BL80">
        <f>P80-S80</f>
        <v>0</v>
      </c>
      <c r="BM80">
        <f>Q80-T80</f>
        <v>-1</v>
      </c>
      <c r="BN80">
        <f>SUM(BK80:BM80)</f>
        <v>-1</v>
      </c>
    </row>
    <row r="81" spans="1:66">
      <c r="A81" s="96" t="s">
        <v>645</v>
      </c>
      <c r="B81" t="s">
        <v>110</v>
      </c>
      <c r="C81" t="str">
        <f>IF(OR(OR(M81="Very High",M81="High"),AND(OR(M81="Very High",M81="High",M81="Normal"),OR(N81="Very High",N81="High"))),"K","T")</f>
        <v>K</v>
      </c>
      <c r="D81" s="27" t="s">
        <v>110</v>
      </c>
      <c r="E81" s="27" t="s">
        <v>350</v>
      </c>
      <c r="F81" s="27" t="s">
        <v>385</v>
      </c>
      <c r="G81" s="27" t="s">
        <v>214</v>
      </c>
      <c r="H81" s="27">
        <v>25</v>
      </c>
      <c r="I81" s="27" t="s">
        <v>107</v>
      </c>
      <c r="J81" s="28" t="s">
        <v>107</v>
      </c>
      <c r="K81" s="27" t="s">
        <v>47</v>
      </c>
      <c r="L81" s="27" t="s">
        <v>47</v>
      </c>
      <c r="M81" s="27" t="s">
        <v>230</v>
      </c>
      <c r="N81" s="28" t="s">
        <v>229</v>
      </c>
      <c r="O81" s="27">
        <v>4</v>
      </c>
      <c r="P81" s="27">
        <v>6</v>
      </c>
      <c r="Q81" s="28">
        <v>2</v>
      </c>
      <c r="R81" s="27">
        <v>4</v>
      </c>
      <c r="S81" s="27">
        <v>6</v>
      </c>
      <c r="T81" s="28">
        <v>3</v>
      </c>
      <c r="U81" s="27">
        <v>4</v>
      </c>
      <c r="V81" s="27">
        <v>4</v>
      </c>
      <c r="W81" s="27">
        <v>4</v>
      </c>
      <c r="X81" s="27">
        <v>4</v>
      </c>
      <c r="Y81" s="27">
        <v>2</v>
      </c>
      <c r="Z81" s="27">
        <v>2</v>
      </c>
      <c r="AA81" s="27" t="s">
        <v>41</v>
      </c>
      <c r="AB81" s="27" t="s">
        <v>41</v>
      </c>
      <c r="AC81" s="27" t="s">
        <v>41</v>
      </c>
      <c r="AD81" s="27" t="s">
        <v>41</v>
      </c>
      <c r="AE81" s="27" t="s">
        <v>41</v>
      </c>
      <c r="AF81" s="27" t="s">
        <v>41</v>
      </c>
      <c r="AG81" s="27" t="s">
        <v>41</v>
      </c>
      <c r="AH81" s="27" t="s">
        <v>41</v>
      </c>
      <c r="AI81" s="27" t="s">
        <v>41</v>
      </c>
      <c r="AJ81" s="27" t="s">
        <v>41</v>
      </c>
      <c r="AK81" s="27" t="s">
        <v>41</v>
      </c>
      <c r="AL81" s="27" t="s">
        <v>41</v>
      </c>
      <c r="AM81" s="27" t="s">
        <v>41</v>
      </c>
      <c r="AN81" s="27" t="s">
        <v>41</v>
      </c>
      <c r="AO81" s="27" t="s">
        <v>41</v>
      </c>
      <c r="AP81" s="27" t="s">
        <v>41</v>
      </c>
      <c r="AQ81" s="27" t="s">
        <v>41</v>
      </c>
      <c r="AR81" s="28" t="s">
        <v>41</v>
      </c>
      <c r="AS81" s="27" t="s">
        <v>2</v>
      </c>
      <c r="AT81" s="27">
        <v>6</v>
      </c>
      <c r="AU81" s="82">
        <v>0.54</v>
      </c>
      <c r="AV81" s="86" t="s">
        <v>41</v>
      </c>
      <c r="AW81" s="28">
        <v>0</v>
      </c>
      <c r="AX81" s="29">
        <f>AVERAGE(O81:Q81)+0.25*MAX(0,(COUNT(U81,W81,Y81,AA81,AC81,AE81,AG81,AI81,AK81,AM81,AO81,AQ81)-3))+IF(AU81&gt;0.55,0.25,0)+IF(MAX(U81,W81,Y81,AA81,AC81,AE81,AG81,AI81,AK81,AM81,AO81,AQ81)&gt;5,0.25,0)</f>
        <v>4</v>
      </c>
      <c r="AY81" s="30" t="str">
        <f>IF(AX81&gt;9,"SuperStar",IF(AX81&gt;8,"Star",IF(AX81&gt;6.5,"GoodReg",IF(AX81&gt;5,"Reg",IF(AX81&gt;4,"Bench","Minors")))))</f>
        <v>Minors</v>
      </c>
      <c r="AZ81" s="30">
        <f>AVERAGE(R81:T81)+0.25*MAX(0,(COUNT(V81,X81,Z81,AB81,AD81,AF81,AH81,AJ81,AL81,AN81,AP81,AR81)-3))+IF(AU81&gt;0.55,0.25,0)+IF(MAX(V81,X81,Z81,AB81,AD81,AF81,AH81,AJ81,AL81,AN81,AP81,AR81)&gt;5,0.25,0)</f>
        <v>4.333333333333333</v>
      </c>
      <c r="BA81" s="30" t="str">
        <f>IF(AZ81&gt;9,"SuperStar",IF(AZ81&gt;8,"Star",IF(AZ81&gt;6.5,"GoodReg",IF(AZ81&gt;5,"Reg",IF(AZ81&gt;4,"Bench","Minors")))))</f>
        <v>Bench</v>
      </c>
      <c r="BB81" s="30">
        <f>MIN(AX81+(MAX(0,25-S81))^1.5,AZ81)</f>
        <v>4.333333333333333</v>
      </c>
      <c r="BC81" s="30" t="str">
        <f>IF(BB81&gt;9,"SuperStar",IF(BB81&gt;8,"Star",IF(BB81&gt;6.5,"GoodReg",IF(BB81&gt;5,"Reg",IF(BB81&gt;4,"Bench","Minors")))))</f>
        <v>Bench</v>
      </c>
      <c r="BD81" s="108">
        <f>COUNT(U81:AR81)/2</f>
        <v>3</v>
      </c>
      <c r="BE81" s="109">
        <f>COUNTIF(U81:AR81,"&gt;5")/2</f>
        <v>0</v>
      </c>
      <c r="BF81" s="27" t="str">
        <f>IF(AW81=1,"Yes","")</f>
        <v/>
      </c>
      <c r="BG81" s="27" t="str">
        <f>IF(A81="ML","There",IF(AVERAGE($R81:$T81)&gt;=6,"Likely",IF(AVERAGE($R81:$T81)&gt;=4,"Possible","Unlikely")))</f>
        <v>Possible</v>
      </c>
      <c r="BH81" t="str">
        <f>IF(AVERAGE(O81:Q81)&gt;=5.5,"ML",IF(AVERAGE(O81:Q81)&gt;=4.5,"AAA",IF(AVERAGE(O81:Q81)&gt;=4,"AA",IF(AVERAGE(O81:Q81)&gt;=3.5,"A","SS-A"))))</f>
        <v>AA</v>
      </c>
      <c r="BI81">
        <f>SUM(O81:Q81)</f>
        <v>12</v>
      </c>
      <c r="BJ81">
        <f>SUM(R81:T81)</f>
        <v>13</v>
      </c>
      <c r="BK81">
        <f>O81-R81</f>
        <v>0</v>
      </c>
      <c r="BL81">
        <f>P81-S81</f>
        <v>0</v>
      </c>
      <c r="BM81">
        <f>Q81-T81</f>
        <v>-1</v>
      </c>
      <c r="BN81">
        <f>SUM(BK81:BM81)</f>
        <v>-1</v>
      </c>
    </row>
    <row r="82" spans="1:66">
      <c r="A82" s="96" t="s">
        <v>645</v>
      </c>
      <c r="C82" t="str">
        <f>IF(OR(OR(M82="Very High",M82="High"),AND(OR(M82="Very High",M82="High",M82="Normal"),OR(N82="Very High",N82="High"))),"K","T")</f>
        <v>T</v>
      </c>
      <c r="D82" s="27" t="s">
        <v>111</v>
      </c>
      <c r="E82" s="27" t="s">
        <v>328</v>
      </c>
      <c r="F82" s="27" t="s">
        <v>383</v>
      </c>
      <c r="G82" s="27" t="s">
        <v>327</v>
      </c>
      <c r="H82" s="27">
        <v>21</v>
      </c>
      <c r="I82" s="27" t="s">
        <v>107</v>
      </c>
      <c r="J82" s="28" t="s">
        <v>107</v>
      </c>
      <c r="K82" s="27" t="s">
        <v>47</v>
      </c>
      <c r="L82" s="27" t="s">
        <v>47</v>
      </c>
      <c r="M82" s="27" t="s">
        <v>231</v>
      </c>
      <c r="N82" s="28" t="s">
        <v>229</v>
      </c>
      <c r="O82" s="27">
        <v>5</v>
      </c>
      <c r="P82" s="27">
        <v>5</v>
      </c>
      <c r="Q82" s="28">
        <v>1</v>
      </c>
      <c r="R82" s="27">
        <v>6</v>
      </c>
      <c r="S82" s="27">
        <v>5</v>
      </c>
      <c r="T82" s="28">
        <v>2</v>
      </c>
      <c r="U82" s="27">
        <v>7</v>
      </c>
      <c r="V82" s="27">
        <v>7</v>
      </c>
      <c r="W82" s="27">
        <v>5</v>
      </c>
      <c r="X82" s="27">
        <v>7</v>
      </c>
      <c r="Y82" s="27">
        <v>6</v>
      </c>
      <c r="Z82" s="27">
        <v>6</v>
      </c>
      <c r="AA82" s="27" t="s">
        <v>41</v>
      </c>
      <c r="AB82" s="27" t="s">
        <v>41</v>
      </c>
      <c r="AC82" s="27" t="s">
        <v>41</v>
      </c>
      <c r="AD82" s="27" t="s">
        <v>41</v>
      </c>
      <c r="AE82" s="27" t="s">
        <v>41</v>
      </c>
      <c r="AF82" s="27" t="s">
        <v>41</v>
      </c>
      <c r="AG82" s="27" t="s">
        <v>41</v>
      </c>
      <c r="AH82" s="27" t="s">
        <v>41</v>
      </c>
      <c r="AI82" s="27" t="s">
        <v>41</v>
      </c>
      <c r="AJ82" s="27" t="s">
        <v>41</v>
      </c>
      <c r="AK82" s="27" t="s">
        <v>41</v>
      </c>
      <c r="AL82" s="27" t="s">
        <v>41</v>
      </c>
      <c r="AM82" s="27" t="s">
        <v>41</v>
      </c>
      <c r="AN82" s="27" t="s">
        <v>41</v>
      </c>
      <c r="AO82" s="27" t="s">
        <v>41</v>
      </c>
      <c r="AP82" s="27" t="s">
        <v>41</v>
      </c>
      <c r="AQ82" s="27" t="s">
        <v>41</v>
      </c>
      <c r="AR82" s="28" t="s">
        <v>41</v>
      </c>
      <c r="AS82" s="27" t="s">
        <v>252</v>
      </c>
      <c r="AT82" s="27">
        <v>8</v>
      </c>
      <c r="AU82" s="82">
        <v>0.53</v>
      </c>
      <c r="AV82" s="86" t="s">
        <v>41</v>
      </c>
      <c r="AW82" s="28">
        <v>0</v>
      </c>
      <c r="AX82" s="29">
        <f>AVERAGE(O82:Q82)+0.25*MAX(0,(COUNT(U82,W82,Y82,AA82,AC82,AE82,AG82,AI82,AK82,AM82,AO82,AQ82)-3))+IF(AU82&gt;0.55,0.25,0)+IF(MAX(U82,W82,Y82,AA82,AC82,AE82,AG82,AI82,AK82,AM82,AO82,AQ82)&gt;5,0.25,0)</f>
        <v>3.9166666666666665</v>
      </c>
      <c r="AY82" s="30" t="str">
        <f>IF(AX82&gt;9,"SuperStar",IF(AX82&gt;8,"Star",IF(AX82&gt;6.5,"GoodReg",IF(AX82&gt;5,"Reg",IF(AX82&gt;4,"Bench","Minors")))))</f>
        <v>Minors</v>
      </c>
      <c r="AZ82" s="30">
        <f>AVERAGE(R82:T82)+0.25*MAX(0,(COUNT(V82,X82,Z82,AB82,AD82,AF82,AH82,AJ82,AL82,AN82,AP82,AR82)-3))+IF(AU82&gt;0.55,0.25,0)+IF(MAX(V82,X82,Z82,AB82,AD82,AF82,AH82,AJ82,AL82,AN82,AP82,AR82)&gt;5,0.25,0)</f>
        <v>4.583333333333333</v>
      </c>
      <c r="BA82" s="30" t="str">
        <f>IF(AZ82&gt;9,"SuperStar",IF(AZ82&gt;8,"Star",IF(AZ82&gt;6.5,"GoodReg",IF(AZ82&gt;5,"Reg",IF(AZ82&gt;4,"Bench","Minors")))))</f>
        <v>Bench</v>
      </c>
      <c r="BB82" s="30">
        <f>MIN(AX82+(MAX(0,25-S82))^1.5,AZ82)</f>
        <v>4.583333333333333</v>
      </c>
      <c r="BC82" s="30" t="str">
        <f>IF(BB82&gt;9,"SuperStar",IF(BB82&gt;8,"Star",IF(BB82&gt;6.5,"GoodReg",IF(BB82&gt;5,"Reg",IF(BB82&gt;4,"Bench","Minors")))))</f>
        <v>Bench</v>
      </c>
      <c r="BD82" s="108">
        <f>COUNT(U82:AR82)/2</f>
        <v>3</v>
      </c>
      <c r="BE82" s="109">
        <f>COUNTIF(U82:AR82,"&gt;5")/2</f>
        <v>2.5</v>
      </c>
      <c r="BF82" s="27" t="str">
        <f>IF(AW82=1,"Yes","")</f>
        <v/>
      </c>
      <c r="BG82" s="27" t="str">
        <f>IF(A82="ML","There",IF(AVERAGE($R82:$T82)&gt;=6,"Likely",IF(AVERAGE($R82:$T82)&gt;=4,"Possible","Unlikely")))</f>
        <v>Possible</v>
      </c>
      <c r="BH82" t="str">
        <f>IF(AVERAGE(O82:Q82)&gt;=5.5,"ML",IF(AVERAGE(O82:Q82)&gt;=4.5,"AAA",IF(AVERAGE(O82:Q82)&gt;=4,"AA",IF(AVERAGE(O82:Q82)&gt;=3.5,"A","SS-A"))))</f>
        <v>A</v>
      </c>
      <c r="BI82">
        <f>SUM(O82:Q82)</f>
        <v>11</v>
      </c>
      <c r="BJ82">
        <f>SUM(R82:T82)</f>
        <v>13</v>
      </c>
      <c r="BK82">
        <f>O82-R82</f>
        <v>-1</v>
      </c>
      <c r="BL82">
        <f>P82-S82</f>
        <v>0</v>
      </c>
      <c r="BM82">
        <f>Q82-T82</f>
        <v>-1</v>
      </c>
      <c r="BN82">
        <f>SUM(BK82:BM82)</f>
        <v>-2</v>
      </c>
    </row>
    <row r="83" spans="1:66">
      <c r="A83" s="96" t="s">
        <v>645</v>
      </c>
      <c r="C83" t="str">
        <f>IF(OR(OR(M83="Very High",M83="High"),AND(OR(M83="Very High",M83="High",M83="Normal"),OR(N83="Very High",N83="High"))),"K","T")</f>
        <v>K</v>
      </c>
      <c r="D83" s="27" t="s">
        <v>111</v>
      </c>
      <c r="E83" s="27" t="s">
        <v>406</v>
      </c>
      <c r="F83" s="27" t="s">
        <v>383</v>
      </c>
      <c r="G83" s="27" t="s">
        <v>327</v>
      </c>
      <c r="H83" s="27">
        <v>24</v>
      </c>
      <c r="I83" s="27" t="s">
        <v>109</v>
      </c>
      <c r="J83" s="28" t="s">
        <v>107</v>
      </c>
      <c r="K83" s="27" t="s">
        <v>47</v>
      </c>
      <c r="L83" s="27" t="s">
        <v>47</v>
      </c>
      <c r="M83" s="27" t="s">
        <v>229</v>
      </c>
      <c r="N83" s="28" t="s">
        <v>229</v>
      </c>
      <c r="O83" s="27">
        <v>4</v>
      </c>
      <c r="P83" s="27">
        <v>5</v>
      </c>
      <c r="Q83" s="28">
        <v>2</v>
      </c>
      <c r="R83" s="27">
        <v>4</v>
      </c>
      <c r="S83" s="27">
        <v>5</v>
      </c>
      <c r="T83" s="28">
        <v>4</v>
      </c>
      <c r="U83" s="27">
        <v>4</v>
      </c>
      <c r="V83" s="27">
        <v>5</v>
      </c>
      <c r="W83" s="27">
        <v>5</v>
      </c>
      <c r="X83" s="27">
        <v>5</v>
      </c>
      <c r="Y83" s="27">
        <v>2</v>
      </c>
      <c r="Z83" s="27">
        <v>2</v>
      </c>
      <c r="AA83" s="27" t="s">
        <v>41</v>
      </c>
      <c r="AB83" s="27" t="s">
        <v>41</v>
      </c>
      <c r="AC83" s="27" t="s">
        <v>41</v>
      </c>
      <c r="AD83" s="27" t="s">
        <v>41</v>
      </c>
      <c r="AE83" s="27" t="s">
        <v>41</v>
      </c>
      <c r="AF83" s="27" t="s">
        <v>41</v>
      </c>
      <c r="AG83" s="27" t="s">
        <v>41</v>
      </c>
      <c r="AH83" s="27" t="s">
        <v>41</v>
      </c>
      <c r="AI83" s="27">
        <v>5</v>
      </c>
      <c r="AJ83" s="27">
        <v>5</v>
      </c>
      <c r="AK83" s="27" t="s">
        <v>41</v>
      </c>
      <c r="AL83" s="27" t="s">
        <v>41</v>
      </c>
      <c r="AM83" s="27" t="s">
        <v>41</v>
      </c>
      <c r="AN83" s="27" t="s">
        <v>41</v>
      </c>
      <c r="AO83" s="27" t="s">
        <v>41</v>
      </c>
      <c r="AP83" s="27" t="s">
        <v>41</v>
      </c>
      <c r="AQ83" s="27" t="s">
        <v>41</v>
      </c>
      <c r="AR83" s="28" t="s">
        <v>41</v>
      </c>
      <c r="AS83" s="27" t="s">
        <v>2</v>
      </c>
      <c r="AT83" s="27">
        <v>10</v>
      </c>
      <c r="AU83" s="82">
        <v>0.53</v>
      </c>
      <c r="AV83" s="86" t="s">
        <v>41</v>
      </c>
      <c r="AW83" s="28">
        <v>0</v>
      </c>
      <c r="AX83" s="29">
        <f>AVERAGE(O83:Q83)+0.25*MAX(0,(COUNT(U83,W83,Y83,AA83,AC83,AE83,AG83,AI83,AK83,AM83,AO83,AQ83)-3))+IF(AU83&gt;0.55,0.25,0)+IF(MAX(U83,W83,Y83,AA83,AC83,AE83,AG83,AI83,AK83,AM83,AO83,AQ83)&gt;5,0.25,0)</f>
        <v>3.9166666666666665</v>
      </c>
      <c r="AY83" s="30" t="str">
        <f>IF(AX83&gt;9,"SuperStar",IF(AX83&gt;8,"Star",IF(AX83&gt;6.5,"GoodReg",IF(AX83&gt;5,"Reg",IF(AX83&gt;4,"Bench","Minors")))))</f>
        <v>Minors</v>
      </c>
      <c r="AZ83" s="30">
        <f>AVERAGE(R83:T83)+0.25*MAX(0,(COUNT(V83,X83,Z83,AB83,AD83,AF83,AH83,AJ83,AL83,AN83,AP83,AR83)-3))+IF(AU83&gt;0.55,0.25,0)+IF(MAX(V83,X83,Z83,AB83,AD83,AF83,AH83,AJ83,AL83,AN83,AP83,AR83)&gt;5,0.25,0)</f>
        <v>4.583333333333333</v>
      </c>
      <c r="BA83" s="30" t="str">
        <f>IF(AZ83&gt;9,"SuperStar",IF(AZ83&gt;8,"Star",IF(AZ83&gt;6.5,"GoodReg",IF(AZ83&gt;5,"Reg",IF(AZ83&gt;4,"Bench","Minors")))))</f>
        <v>Bench</v>
      </c>
      <c r="BB83" s="30">
        <f>MIN(AX83+(MAX(0,25-S83))^1.5,AZ83)</f>
        <v>4.583333333333333</v>
      </c>
      <c r="BC83" s="30" t="str">
        <f>IF(BB83&gt;9,"SuperStar",IF(BB83&gt;8,"Star",IF(BB83&gt;6.5,"GoodReg",IF(BB83&gt;5,"Reg",IF(BB83&gt;4,"Bench","Minors")))))</f>
        <v>Bench</v>
      </c>
      <c r="BD83" s="108">
        <f>COUNT(U83:AR83)/2</f>
        <v>4</v>
      </c>
      <c r="BE83" s="109">
        <f>COUNTIF(U83:AR83,"&gt;5")/2</f>
        <v>0</v>
      </c>
      <c r="BF83" s="27" t="str">
        <f>IF(AW83=1,"Yes","")</f>
        <v/>
      </c>
      <c r="BG83" s="27" t="str">
        <f>IF(A83="ML","There",IF(AVERAGE($R83:$T83)&gt;=6,"Likely",IF(AVERAGE($R83:$T83)&gt;=4,"Possible","Unlikely")))</f>
        <v>Possible</v>
      </c>
      <c r="BH83" t="str">
        <f>IF(AVERAGE(O83:Q83)&gt;=5.5,"ML",IF(AVERAGE(O83:Q83)&gt;=4.5,"AAA",IF(AVERAGE(O83:Q83)&gt;=4,"AA",IF(AVERAGE(O83:Q83)&gt;=3.5,"A","SS-A"))))</f>
        <v>A</v>
      </c>
      <c r="BI83">
        <f>SUM(O83:Q83)</f>
        <v>11</v>
      </c>
      <c r="BJ83">
        <f>SUM(R83:T83)</f>
        <v>13</v>
      </c>
      <c r="BK83">
        <f>O83-R83</f>
        <v>0</v>
      </c>
      <c r="BL83">
        <f>P83-S83</f>
        <v>0</v>
      </c>
      <c r="BM83">
        <f>Q83-T83</f>
        <v>-2</v>
      </c>
      <c r="BN83">
        <f>SUM(BK83:BM83)</f>
        <v>-2</v>
      </c>
    </row>
    <row r="84" spans="1:66">
      <c r="A84" s="96" t="s">
        <v>645</v>
      </c>
      <c r="C84" t="str">
        <f>IF(OR(OR(M84="Very High",M84="High"),AND(OR(M84="Very High",M84="High",M84="Normal"),OR(N84="Very High",N84="High"))),"K","T")</f>
        <v>T</v>
      </c>
      <c r="D84" s="27" t="s">
        <v>110</v>
      </c>
      <c r="E84" s="27" t="s">
        <v>414</v>
      </c>
      <c r="F84" s="27" t="s">
        <v>383</v>
      </c>
      <c r="G84" s="27" t="s">
        <v>327</v>
      </c>
      <c r="H84" s="27">
        <v>21</v>
      </c>
      <c r="I84" s="27" t="s">
        <v>107</v>
      </c>
      <c r="J84" s="28" t="s">
        <v>106</v>
      </c>
      <c r="K84" s="27" t="s">
        <v>47</v>
      </c>
      <c r="L84" s="27" t="s">
        <v>47</v>
      </c>
      <c r="M84" s="27" t="s">
        <v>231</v>
      </c>
      <c r="N84" s="28" t="s">
        <v>230</v>
      </c>
      <c r="O84" s="27">
        <v>5</v>
      </c>
      <c r="P84" s="27">
        <v>4</v>
      </c>
      <c r="Q84" s="28">
        <v>2</v>
      </c>
      <c r="R84" s="27">
        <v>5</v>
      </c>
      <c r="S84" s="27">
        <v>4</v>
      </c>
      <c r="T84" s="28">
        <v>2</v>
      </c>
      <c r="U84" s="27">
        <v>7</v>
      </c>
      <c r="V84" s="27">
        <v>7</v>
      </c>
      <c r="W84" s="27" t="s">
        <v>41</v>
      </c>
      <c r="X84" s="27" t="s">
        <v>41</v>
      </c>
      <c r="Y84" s="27" t="s">
        <v>41</v>
      </c>
      <c r="Z84" s="27" t="s">
        <v>41</v>
      </c>
      <c r="AA84" s="27">
        <v>5</v>
      </c>
      <c r="AB84" s="27">
        <v>5</v>
      </c>
      <c r="AC84" s="27" t="s">
        <v>41</v>
      </c>
      <c r="AD84" s="27" t="s">
        <v>41</v>
      </c>
      <c r="AE84" s="27" t="s">
        <v>41</v>
      </c>
      <c r="AF84" s="27" t="s">
        <v>41</v>
      </c>
      <c r="AG84" s="27" t="s">
        <v>41</v>
      </c>
      <c r="AH84" s="27" t="s">
        <v>41</v>
      </c>
      <c r="AI84" s="27" t="s">
        <v>41</v>
      </c>
      <c r="AJ84" s="27" t="s">
        <v>41</v>
      </c>
      <c r="AK84" s="27" t="s">
        <v>41</v>
      </c>
      <c r="AL84" s="27" t="s">
        <v>41</v>
      </c>
      <c r="AM84" s="27" t="s">
        <v>41</v>
      </c>
      <c r="AN84" s="27" t="s">
        <v>41</v>
      </c>
      <c r="AO84" s="27" t="s">
        <v>41</v>
      </c>
      <c r="AP84" s="27" t="s">
        <v>41</v>
      </c>
      <c r="AQ84" s="27" t="s">
        <v>41</v>
      </c>
      <c r="AR84" s="28" t="s">
        <v>41</v>
      </c>
      <c r="AS84" s="27" t="s">
        <v>11</v>
      </c>
      <c r="AT84" s="27">
        <v>3</v>
      </c>
      <c r="AU84" s="82">
        <v>0.54</v>
      </c>
      <c r="AV84" s="86" t="s">
        <v>41</v>
      </c>
      <c r="AW84" s="28">
        <v>0</v>
      </c>
      <c r="AX84" s="29">
        <f>AVERAGE(O84:Q84)+0.25*MAX(0,(COUNT(U84,W84,Y84,AA84,AC84,AE84,AG84,AI84,AK84,AM84,AO84,AQ84)-3))+IF(AU84&gt;0.55,0.25,0)+IF(MAX(U84,W84,Y84,AA84,AC84,AE84,AG84,AI84,AK84,AM84,AO84,AQ84)&gt;5,0.25,0)</f>
        <v>3.9166666666666665</v>
      </c>
      <c r="AY84" s="30" t="str">
        <f>IF(AX84&gt;9,"SuperStar",IF(AX84&gt;8,"Star",IF(AX84&gt;6.5,"GoodReg",IF(AX84&gt;5,"Reg",IF(AX84&gt;4,"Bench","Minors")))))</f>
        <v>Minors</v>
      </c>
      <c r="AZ84" s="30">
        <f>AVERAGE(R84:T84)+0.25*MAX(0,(COUNT(V84,X84,Z84,AB84,AD84,AF84,AH84,AJ84,AL84,AN84,AP84,AR84)-3))+IF(AU84&gt;0.55,0.25,0)+IF(MAX(V84,X84,Z84,AB84,AD84,AF84,AH84,AJ84,AL84,AN84,AP84,AR84)&gt;5,0.25,0)</f>
        <v>3.9166666666666665</v>
      </c>
      <c r="BA84" s="30" t="str">
        <f>IF(AZ84&gt;9,"SuperStar",IF(AZ84&gt;8,"Star",IF(AZ84&gt;6.5,"GoodReg",IF(AZ84&gt;5,"Reg",IF(AZ84&gt;4,"Bench","Minors")))))</f>
        <v>Minors</v>
      </c>
      <c r="BB84" s="30">
        <f>MIN(AX84+(MAX(0,25-S84))^1.5,AZ84)</f>
        <v>3.9166666666666665</v>
      </c>
      <c r="BC84" s="30" t="str">
        <f>IF(BB84&gt;9,"SuperStar",IF(BB84&gt;8,"Star",IF(BB84&gt;6.5,"GoodReg",IF(BB84&gt;5,"Reg",IF(BB84&gt;4,"Bench","Minors")))))</f>
        <v>Minors</v>
      </c>
      <c r="BD84" s="108">
        <f>COUNT(U84:AR84)/2</f>
        <v>2</v>
      </c>
      <c r="BE84" s="109">
        <f>COUNTIF(U84:AR84,"&gt;5")/2</f>
        <v>1</v>
      </c>
      <c r="BF84" s="27" t="str">
        <f>IF(AW84=1,"Yes","")</f>
        <v/>
      </c>
      <c r="BG84" s="27" t="str">
        <f>IF(A84="ML","There",IF(AVERAGE($R84:$T84)&gt;=6,"Likely",IF(AVERAGE($R84:$T84)&gt;=4,"Possible","Unlikely")))</f>
        <v>Unlikely</v>
      </c>
      <c r="BH84" t="str">
        <f>IF(AVERAGE(O84:Q84)&gt;=5.5,"ML",IF(AVERAGE(O84:Q84)&gt;=4.5,"AAA",IF(AVERAGE(O84:Q84)&gt;=4,"AA",IF(AVERAGE(O84:Q84)&gt;=3.5,"A","SS-A"))))</f>
        <v>A</v>
      </c>
      <c r="BI84">
        <f>SUM(O84:Q84)</f>
        <v>11</v>
      </c>
      <c r="BJ84">
        <f>SUM(R84:T84)</f>
        <v>11</v>
      </c>
      <c r="BK84">
        <f>O84-R84</f>
        <v>0</v>
      </c>
      <c r="BL84">
        <f>P84-S84</f>
        <v>0</v>
      </c>
      <c r="BM84">
        <f>Q84-T84</f>
        <v>0</v>
      </c>
      <c r="BN84">
        <f>SUM(BK84:BM84)</f>
        <v>0</v>
      </c>
    </row>
    <row r="85" spans="1:66">
      <c r="A85" s="96" t="s">
        <v>645</v>
      </c>
      <c r="C85" t="str">
        <f>IF(OR(OR(M85="Very High",M85="High"),AND(OR(M85="Very High",M85="High",M85="Normal"),OR(N85="Very High",N85="High"))),"K","T")</f>
        <v>K</v>
      </c>
      <c r="D85" s="27" t="s">
        <v>111</v>
      </c>
      <c r="E85" s="27" t="s">
        <v>516</v>
      </c>
      <c r="F85" s="27" t="s">
        <v>383</v>
      </c>
      <c r="G85" s="27" t="s">
        <v>327</v>
      </c>
      <c r="H85" s="27">
        <v>22</v>
      </c>
      <c r="I85" s="27" t="s">
        <v>106</v>
      </c>
      <c r="J85" s="28" t="s">
        <v>106</v>
      </c>
      <c r="K85" s="27" t="s">
        <v>47</v>
      </c>
      <c r="L85" s="27" t="s">
        <v>47</v>
      </c>
      <c r="M85" s="27" t="s">
        <v>229</v>
      </c>
      <c r="N85" s="28" t="s">
        <v>230</v>
      </c>
      <c r="O85" s="27">
        <v>5</v>
      </c>
      <c r="P85" s="27">
        <v>3</v>
      </c>
      <c r="Q85" s="28">
        <v>2</v>
      </c>
      <c r="R85" s="27">
        <v>5</v>
      </c>
      <c r="S85" s="27">
        <v>3</v>
      </c>
      <c r="T85" s="28">
        <v>3</v>
      </c>
      <c r="U85" s="27">
        <v>6</v>
      </c>
      <c r="V85" s="27">
        <v>6</v>
      </c>
      <c r="W85" s="27">
        <v>5</v>
      </c>
      <c r="X85" s="27">
        <v>6</v>
      </c>
      <c r="Y85" s="27" t="s">
        <v>41</v>
      </c>
      <c r="Z85" s="27" t="s">
        <v>41</v>
      </c>
      <c r="AA85" s="27">
        <v>5</v>
      </c>
      <c r="AB85" s="27">
        <v>6</v>
      </c>
      <c r="AC85" s="27" t="s">
        <v>41</v>
      </c>
      <c r="AD85" s="27" t="s">
        <v>41</v>
      </c>
      <c r="AE85" s="27" t="s">
        <v>41</v>
      </c>
      <c r="AF85" s="27" t="s">
        <v>41</v>
      </c>
      <c r="AG85" s="27" t="s">
        <v>41</v>
      </c>
      <c r="AH85" s="27" t="s">
        <v>41</v>
      </c>
      <c r="AI85" s="27">
        <v>4</v>
      </c>
      <c r="AJ85" s="27">
        <v>4</v>
      </c>
      <c r="AK85" s="27" t="s">
        <v>41</v>
      </c>
      <c r="AL85" s="27" t="s">
        <v>41</v>
      </c>
      <c r="AM85" s="27" t="s">
        <v>41</v>
      </c>
      <c r="AN85" s="27" t="s">
        <v>41</v>
      </c>
      <c r="AO85" s="27" t="s">
        <v>41</v>
      </c>
      <c r="AP85" s="27" t="s">
        <v>41</v>
      </c>
      <c r="AQ85" s="27" t="s">
        <v>41</v>
      </c>
      <c r="AR85" s="28" t="s">
        <v>41</v>
      </c>
      <c r="AS85" s="27" t="s">
        <v>3</v>
      </c>
      <c r="AT85" s="27">
        <v>8</v>
      </c>
      <c r="AU85" s="82">
        <v>0.42</v>
      </c>
      <c r="AV85" s="86" t="s">
        <v>41</v>
      </c>
      <c r="AW85" s="28">
        <v>0</v>
      </c>
      <c r="AX85" s="29">
        <f>AVERAGE(O85:Q85)+0.25*MAX(0,(COUNT(U85,W85,Y85,AA85,AC85,AE85,AG85,AI85,AK85,AM85,AO85,AQ85)-3))+IF(AU85&gt;0.55,0.25,0)+IF(MAX(U85,W85,Y85,AA85,AC85,AE85,AG85,AI85,AK85,AM85,AO85,AQ85)&gt;5,0.25,0)</f>
        <v>3.8333333333333335</v>
      </c>
      <c r="AY85" s="30" t="str">
        <f>IF(AX85&gt;9,"SuperStar",IF(AX85&gt;8,"Star",IF(AX85&gt;6.5,"GoodReg",IF(AX85&gt;5,"Reg",IF(AX85&gt;4,"Bench","Minors")))))</f>
        <v>Minors</v>
      </c>
      <c r="AZ85" s="30">
        <f>AVERAGE(R85:T85)+0.25*MAX(0,(COUNT(V85,X85,Z85,AB85,AD85,AF85,AH85,AJ85,AL85,AN85,AP85,AR85)-3))+IF(AU85&gt;0.55,0.25,0)+IF(MAX(V85,X85,Z85,AB85,AD85,AF85,AH85,AJ85,AL85,AN85,AP85,AR85)&gt;5,0.25,0)</f>
        <v>4.1666666666666661</v>
      </c>
      <c r="BA85" s="30" t="str">
        <f>IF(AZ85&gt;9,"SuperStar",IF(AZ85&gt;8,"Star",IF(AZ85&gt;6.5,"GoodReg",IF(AZ85&gt;5,"Reg",IF(AZ85&gt;4,"Bench","Minors")))))</f>
        <v>Bench</v>
      </c>
      <c r="BB85" s="30">
        <f>MIN(AX85+(MAX(0,25-S85))^1.5,AZ85)</f>
        <v>4.1666666666666661</v>
      </c>
      <c r="BC85" s="30" t="str">
        <f>IF(BB85&gt;9,"SuperStar",IF(BB85&gt;8,"Star",IF(BB85&gt;6.5,"GoodReg",IF(BB85&gt;5,"Reg",IF(BB85&gt;4,"Bench","Minors")))))</f>
        <v>Bench</v>
      </c>
      <c r="BD85" s="108">
        <f>COUNT(U85:AR85)/2</f>
        <v>4</v>
      </c>
      <c r="BE85" s="109">
        <f>COUNTIF(U85:AR85,"&gt;5")/2</f>
        <v>2</v>
      </c>
      <c r="BF85" s="27" t="str">
        <f>IF(AW85=1,"Yes","")</f>
        <v/>
      </c>
      <c r="BG85" s="27" t="str">
        <f>IF(A85="ML","There",IF(AVERAGE($R85:$T85)&gt;=6,"Likely",IF(AVERAGE($R85:$T85)&gt;=4,"Possible","Unlikely")))</f>
        <v>Unlikely</v>
      </c>
      <c r="BH85" t="str">
        <f>IF(AVERAGE(O85:Q85)&gt;=5.5,"ML",IF(AVERAGE(O85:Q85)&gt;=4.5,"AAA",IF(AVERAGE(O85:Q85)&gt;=4,"AA",IF(AVERAGE(O85:Q85)&gt;=3.5,"A","SS-A"))))</f>
        <v>SS-A</v>
      </c>
      <c r="BI85">
        <f>SUM(O85:Q85)</f>
        <v>10</v>
      </c>
      <c r="BJ85">
        <f>SUM(R85:T85)</f>
        <v>11</v>
      </c>
      <c r="BK85">
        <f>O85-R85</f>
        <v>0</v>
      </c>
      <c r="BL85">
        <f>P85-S85</f>
        <v>0</v>
      </c>
      <c r="BM85">
        <f>Q85-T85</f>
        <v>-1</v>
      </c>
      <c r="BN85">
        <f>SUM(BK85:BM85)</f>
        <v>-1</v>
      </c>
    </row>
    <row r="86" spans="1:66">
      <c r="A86" s="96" t="s">
        <v>645</v>
      </c>
      <c r="C86" t="str">
        <f>IF(OR(OR(M86="Very High",M86="High"),AND(OR(M86="Very High",M86="High",M86="Normal"),OR(N86="Very High",N86="High"))),"K","T")</f>
        <v>K</v>
      </c>
      <c r="D86" s="27" t="s">
        <v>110</v>
      </c>
      <c r="E86" s="27" t="s">
        <v>412</v>
      </c>
      <c r="F86" s="27" t="s">
        <v>383</v>
      </c>
      <c r="G86" s="27" t="s">
        <v>327</v>
      </c>
      <c r="H86" s="27">
        <v>20</v>
      </c>
      <c r="I86" s="27" t="s">
        <v>109</v>
      </c>
      <c r="J86" s="28" t="s">
        <v>107</v>
      </c>
      <c r="K86" s="27" t="s">
        <v>47</v>
      </c>
      <c r="L86" s="27" t="s">
        <v>47</v>
      </c>
      <c r="M86" s="27" t="s">
        <v>228</v>
      </c>
      <c r="N86" s="28" t="s">
        <v>230</v>
      </c>
      <c r="O86" s="27">
        <v>3</v>
      </c>
      <c r="P86" s="27">
        <v>4</v>
      </c>
      <c r="Q86" s="28">
        <v>4</v>
      </c>
      <c r="R86" s="27">
        <v>3</v>
      </c>
      <c r="S86" s="27">
        <v>4</v>
      </c>
      <c r="T86" s="28">
        <v>4</v>
      </c>
      <c r="U86" s="27">
        <v>4</v>
      </c>
      <c r="V86" s="27">
        <v>4</v>
      </c>
      <c r="W86" s="27" t="s">
        <v>41</v>
      </c>
      <c r="X86" s="27" t="s">
        <v>41</v>
      </c>
      <c r="Y86" s="27">
        <v>3</v>
      </c>
      <c r="Z86" s="27">
        <v>3</v>
      </c>
      <c r="AA86" s="27" t="s">
        <v>41</v>
      </c>
      <c r="AB86" s="27" t="s">
        <v>41</v>
      </c>
      <c r="AC86" s="27" t="s">
        <v>41</v>
      </c>
      <c r="AD86" s="27" t="s">
        <v>41</v>
      </c>
      <c r="AE86" s="27" t="s">
        <v>41</v>
      </c>
      <c r="AF86" s="27" t="s">
        <v>41</v>
      </c>
      <c r="AG86" s="27" t="s">
        <v>41</v>
      </c>
      <c r="AH86" s="27" t="s">
        <v>41</v>
      </c>
      <c r="AI86" s="27" t="s">
        <v>41</v>
      </c>
      <c r="AJ86" s="27" t="s">
        <v>41</v>
      </c>
      <c r="AK86" s="27" t="s">
        <v>41</v>
      </c>
      <c r="AL86" s="27" t="s">
        <v>41</v>
      </c>
      <c r="AM86" s="27" t="s">
        <v>41</v>
      </c>
      <c r="AN86" s="27" t="s">
        <v>41</v>
      </c>
      <c r="AO86" s="27" t="s">
        <v>41</v>
      </c>
      <c r="AP86" s="27" t="s">
        <v>41</v>
      </c>
      <c r="AQ86" s="27" t="s">
        <v>41</v>
      </c>
      <c r="AR86" s="28" t="s">
        <v>41</v>
      </c>
      <c r="AS86" s="27" t="s">
        <v>6</v>
      </c>
      <c r="AT86" s="27">
        <v>5</v>
      </c>
      <c r="AU86" s="82">
        <v>0.44</v>
      </c>
      <c r="AV86" s="86" t="s">
        <v>41</v>
      </c>
      <c r="AW86" s="28">
        <v>0</v>
      </c>
      <c r="AX86" s="29">
        <f>AVERAGE(O86:Q86)+0.25*MAX(0,(COUNT(U86,W86,Y86,AA86,AC86,AE86,AG86,AI86,AK86,AM86,AO86,AQ86)-3))+IF(AU86&gt;0.55,0.25,0)+IF(MAX(U86,W86,Y86,AA86,AC86,AE86,AG86,AI86,AK86,AM86,AO86,AQ86)&gt;5,0.25,0)</f>
        <v>3.6666666666666665</v>
      </c>
      <c r="AY86" s="30" t="str">
        <f>IF(AX86&gt;9,"SuperStar",IF(AX86&gt;8,"Star",IF(AX86&gt;6.5,"GoodReg",IF(AX86&gt;5,"Reg",IF(AX86&gt;4,"Bench","Minors")))))</f>
        <v>Minors</v>
      </c>
      <c r="AZ86" s="30">
        <f>AVERAGE(R86:T86)+0.25*MAX(0,(COUNT(V86,X86,Z86,AB86,AD86,AF86,AH86,AJ86,AL86,AN86,AP86,AR86)-3))+IF(AU86&gt;0.55,0.25,0)+IF(MAX(V86,X86,Z86,AB86,AD86,AF86,AH86,AJ86,AL86,AN86,AP86,AR86)&gt;5,0.25,0)</f>
        <v>3.6666666666666665</v>
      </c>
      <c r="BA86" s="30" t="str">
        <f>IF(AZ86&gt;9,"SuperStar",IF(AZ86&gt;8,"Star",IF(AZ86&gt;6.5,"GoodReg",IF(AZ86&gt;5,"Reg",IF(AZ86&gt;4,"Bench","Minors")))))</f>
        <v>Minors</v>
      </c>
      <c r="BB86" s="30">
        <f>MIN(AX86+(MAX(0,25-S86))^1.5,AZ86)</f>
        <v>3.6666666666666665</v>
      </c>
      <c r="BC86" s="30" t="str">
        <f>IF(BB86&gt;9,"SuperStar",IF(BB86&gt;8,"Star",IF(BB86&gt;6.5,"GoodReg",IF(BB86&gt;5,"Reg",IF(BB86&gt;4,"Bench","Minors")))))</f>
        <v>Minors</v>
      </c>
      <c r="BD86" s="108">
        <f>COUNT(U86:AR86)/2</f>
        <v>2</v>
      </c>
      <c r="BE86" s="109">
        <f>COUNTIF(U86:AR86,"&gt;5")/2</f>
        <v>0</v>
      </c>
      <c r="BF86" s="27" t="str">
        <f>IF(AW86=1,"Yes","")</f>
        <v/>
      </c>
      <c r="BG86" s="27" t="str">
        <f>IF(A86="ML","There",IF(AVERAGE($R86:$T86)&gt;=6,"Likely",IF(AVERAGE($R86:$T86)&gt;=4,"Possible","Unlikely")))</f>
        <v>Unlikely</v>
      </c>
      <c r="BH86" t="str">
        <f>IF(AVERAGE(O86:Q86)&gt;=5.5,"ML",IF(AVERAGE(O86:Q86)&gt;=4.5,"AAA",IF(AVERAGE(O86:Q86)&gt;=4,"AA",IF(AVERAGE(O86:Q86)&gt;=3.5,"A","SS-A"))))</f>
        <v>A</v>
      </c>
      <c r="BI86">
        <f>SUM(O86:Q86)</f>
        <v>11</v>
      </c>
      <c r="BJ86">
        <f>SUM(R86:T86)</f>
        <v>11</v>
      </c>
      <c r="BK86">
        <f>O86-R86</f>
        <v>0</v>
      </c>
      <c r="BL86">
        <f>P86-S86</f>
        <v>0</v>
      </c>
      <c r="BM86">
        <f>Q86-T86</f>
        <v>0</v>
      </c>
      <c r="BN86">
        <f>SUM(BK86:BM86)</f>
        <v>0</v>
      </c>
    </row>
    <row r="87" spans="1:66">
      <c r="A87" s="96" t="s">
        <v>645</v>
      </c>
      <c r="C87" t="str">
        <f>IF(OR(OR(M87="Very High",M87="High"),AND(OR(M87="Very High",M87="High",M87="Normal"),OR(N87="Very High",N87="High"))),"K","T")</f>
        <v>K</v>
      </c>
      <c r="D87" s="27" t="s">
        <v>110</v>
      </c>
      <c r="E87" s="27" t="s">
        <v>469</v>
      </c>
      <c r="F87" s="27" t="s">
        <v>383</v>
      </c>
      <c r="G87" s="27" t="s">
        <v>327</v>
      </c>
      <c r="H87" s="27">
        <v>21</v>
      </c>
      <c r="I87" s="27" t="s">
        <v>109</v>
      </c>
      <c r="J87" s="28" t="s">
        <v>107</v>
      </c>
      <c r="K87" s="27" t="s">
        <v>47</v>
      </c>
      <c r="L87" s="27" t="s">
        <v>47</v>
      </c>
      <c r="M87" s="27" t="s">
        <v>229</v>
      </c>
      <c r="N87" s="28" t="s">
        <v>231</v>
      </c>
      <c r="O87" s="27">
        <v>4</v>
      </c>
      <c r="P87" s="27">
        <v>4</v>
      </c>
      <c r="Q87" s="28">
        <v>3</v>
      </c>
      <c r="R87" s="27">
        <v>4</v>
      </c>
      <c r="S87" s="27">
        <v>4</v>
      </c>
      <c r="T87" s="28">
        <v>3</v>
      </c>
      <c r="U87" s="27">
        <v>5</v>
      </c>
      <c r="V87" s="27">
        <v>5</v>
      </c>
      <c r="W87" s="27">
        <v>4</v>
      </c>
      <c r="X87" s="27">
        <v>4</v>
      </c>
      <c r="Y87" s="27">
        <v>4</v>
      </c>
      <c r="Z87" s="27">
        <v>4</v>
      </c>
      <c r="AA87" s="27" t="s">
        <v>41</v>
      </c>
      <c r="AB87" s="27" t="s">
        <v>41</v>
      </c>
      <c r="AC87" s="27" t="s">
        <v>41</v>
      </c>
      <c r="AD87" s="27" t="s">
        <v>41</v>
      </c>
      <c r="AE87" s="27" t="s">
        <v>41</v>
      </c>
      <c r="AF87" s="27" t="s">
        <v>41</v>
      </c>
      <c r="AG87" s="27" t="s">
        <v>41</v>
      </c>
      <c r="AH87" s="27" t="s">
        <v>41</v>
      </c>
      <c r="AI87" s="27" t="s">
        <v>41</v>
      </c>
      <c r="AJ87" s="27" t="s">
        <v>41</v>
      </c>
      <c r="AK87" s="27" t="s">
        <v>41</v>
      </c>
      <c r="AL87" s="27" t="s">
        <v>41</v>
      </c>
      <c r="AM87" s="27" t="s">
        <v>41</v>
      </c>
      <c r="AN87" s="27" t="s">
        <v>41</v>
      </c>
      <c r="AO87" s="27" t="s">
        <v>41</v>
      </c>
      <c r="AP87" s="27" t="s">
        <v>41</v>
      </c>
      <c r="AQ87" s="27" t="s">
        <v>41</v>
      </c>
      <c r="AR87" s="28" t="s">
        <v>41</v>
      </c>
      <c r="AS87" s="27" t="s">
        <v>11</v>
      </c>
      <c r="AT87" s="27">
        <v>8</v>
      </c>
      <c r="AU87" s="82">
        <v>0.48</v>
      </c>
      <c r="AV87" s="86" t="s">
        <v>41</v>
      </c>
      <c r="AW87" s="28" t="s">
        <v>45</v>
      </c>
      <c r="AX87" s="29">
        <f>AVERAGE(O87:Q87)+0.25*MAX(0,(COUNT(U87,W87,Y87,AA87,AC87,AE87,AG87,AI87,AK87,AM87,AO87,AQ87)-3))+IF(AU87&gt;0.55,0.25,0)+IF(MAX(U87,W87,Y87,AA87,AC87,AE87,AG87,AI87,AK87,AM87,AO87,AQ87)&gt;5,0.25,0)</f>
        <v>3.6666666666666665</v>
      </c>
      <c r="AY87" s="30" t="str">
        <f>IF(AX87&gt;9,"SuperStar",IF(AX87&gt;8,"Star",IF(AX87&gt;6.5,"GoodReg",IF(AX87&gt;5,"Reg",IF(AX87&gt;4,"Bench","Minors")))))</f>
        <v>Minors</v>
      </c>
      <c r="AZ87" s="30">
        <f>AVERAGE(R87:T87)+0.25*MAX(0,(COUNT(V87,X87,Z87,AB87,AD87,AF87,AH87,AJ87,AL87,AN87,AP87,AR87)-3))+IF(AU87&gt;0.55,0.25,0)+IF(MAX(V87,X87,Z87,AB87,AD87,AF87,AH87,AJ87,AL87,AN87,AP87,AR87)&gt;5,0.25,0)</f>
        <v>3.6666666666666665</v>
      </c>
      <c r="BA87" s="30" t="str">
        <f>IF(AZ87&gt;9,"SuperStar",IF(AZ87&gt;8,"Star",IF(AZ87&gt;6.5,"GoodReg",IF(AZ87&gt;5,"Reg",IF(AZ87&gt;4,"Bench","Minors")))))</f>
        <v>Minors</v>
      </c>
      <c r="BB87" s="30">
        <f>MIN(AX87+(MAX(0,25-S87))^1.5,AZ87)</f>
        <v>3.6666666666666665</v>
      </c>
      <c r="BC87" s="30" t="str">
        <f>IF(BB87&gt;9,"SuperStar",IF(BB87&gt;8,"Star",IF(BB87&gt;6.5,"GoodReg",IF(BB87&gt;5,"Reg",IF(BB87&gt;4,"Bench","Minors")))))</f>
        <v>Minors</v>
      </c>
      <c r="BD87" s="108">
        <f>COUNT(U87:AR87)/2</f>
        <v>3</v>
      </c>
      <c r="BE87" s="109">
        <f>COUNTIF(U87:AR87,"&gt;5")/2</f>
        <v>0</v>
      </c>
      <c r="BF87" s="27" t="str">
        <f>IF(AW87=1,"Yes","")</f>
        <v/>
      </c>
      <c r="BG87" s="27" t="str">
        <f>IF(A87="ML","There",IF(AVERAGE($R87:$T87)&gt;=6,"Likely",IF(AVERAGE($R87:$T87)&gt;=4,"Possible","Unlikely")))</f>
        <v>Unlikely</v>
      </c>
      <c r="BH87" t="str">
        <f>IF(AVERAGE(O87:Q87)&gt;=5.5,"ML",IF(AVERAGE(O87:Q87)&gt;=4.5,"AAA",IF(AVERAGE(O87:Q87)&gt;=4,"AA",IF(AVERAGE(O87:Q87)&gt;=3.5,"A","SS-A"))))</f>
        <v>A</v>
      </c>
      <c r="BI87">
        <f>SUM(O87:Q87)</f>
        <v>11</v>
      </c>
      <c r="BJ87">
        <f>SUM(R87:T87)</f>
        <v>11</v>
      </c>
      <c r="BK87">
        <f>O87-R87</f>
        <v>0</v>
      </c>
      <c r="BL87">
        <f>P87-S87</f>
        <v>0</v>
      </c>
      <c r="BM87">
        <f>Q87-T87</f>
        <v>0</v>
      </c>
      <c r="BN87">
        <f>SUM(BK87:BM87)</f>
        <v>0</v>
      </c>
    </row>
    <row r="88" spans="1:66">
      <c r="A88" s="96" t="s">
        <v>645</v>
      </c>
      <c r="C88" t="str">
        <f>IF(OR(OR(M88="Very High",M88="High"),AND(OR(M88="Very High",M88="High",M88="Normal"),OR(N88="Very High",N88="High"))),"K","T")</f>
        <v>T</v>
      </c>
      <c r="D88" s="27" t="s">
        <v>110</v>
      </c>
      <c r="E88" s="27" t="s">
        <v>459</v>
      </c>
      <c r="F88" s="27" t="s">
        <v>383</v>
      </c>
      <c r="G88" s="27" t="s">
        <v>327</v>
      </c>
      <c r="H88" s="27">
        <v>20</v>
      </c>
      <c r="I88" s="27" t="s">
        <v>106</v>
      </c>
      <c r="J88" s="28" t="s">
        <v>106</v>
      </c>
      <c r="K88" s="27" t="s">
        <v>47</v>
      </c>
      <c r="L88" s="27" t="s">
        <v>47</v>
      </c>
      <c r="M88" s="27" t="s">
        <v>232</v>
      </c>
      <c r="N88" s="28" t="s">
        <v>228</v>
      </c>
      <c r="O88" s="27">
        <v>3</v>
      </c>
      <c r="P88" s="27">
        <v>4</v>
      </c>
      <c r="Q88" s="28">
        <v>1</v>
      </c>
      <c r="R88" s="27">
        <v>3</v>
      </c>
      <c r="S88" s="27">
        <v>4</v>
      </c>
      <c r="T88" s="28">
        <v>4</v>
      </c>
      <c r="U88" s="27">
        <v>3</v>
      </c>
      <c r="V88" s="27">
        <v>3</v>
      </c>
      <c r="W88" s="27">
        <v>2</v>
      </c>
      <c r="X88" s="27">
        <v>3</v>
      </c>
      <c r="Y88" s="27" t="s">
        <v>41</v>
      </c>
      <c r="Z88" s="27" t="s">
        <v>41</v>
      </c>
      <c r="AA88" s="27">
        <v>2</v>
      </c>
      <c r="AB88" s="27">
        <v>3</v>
      </c>
      <c r="AC88" s="27" t="s">
        <v>41</v>
      </c>
      <c r="AD88" s="27" t="s">
        <v>41</v>
      </c>
      <c r="AE88" s="27">
        <v>3</v>
      </c>
      <c r="AF88" s="27">
        <v>3</v>
      </c>
      <c r="AG88" s="27" t="s">
        <v>41</v>
      </c>
      <c r="AH88" s="27" t="s">
        <v>41</v>
      </c>
      <c r="AI88" s="27">
        <v>3</v>
      </c>
      <c r="AJ88" s="27">
        <v>3</v>
      </c>
      <c r="AK88" s="27">
        <v>3</v>
      </c>
      <c r="AL88" s="27">
        <v>3</v>
      </c>
      <c r="AM88" s="27" t="s">
        <v>41</v>
      </c>
      <c r="AN88" s="27" t="s">
        <v>41</v>
      </c>
      <c r="AO88" s="27" t="s">
        <v>41</v>
      </c>
      <c r="AP88" s="27" t="s">
        <v>41</v>
      </c>
      <c r="AQ88" s="27" t="s">
        <v>41</v>
      </c>
      <c r="AR88" s="28" t="s">
        <v>41</v>
      </c>
      <c r="AS88" s="27" t="s">
        <v>7</v>
      </c>
      <c r="AT88" s="27">
        <v>5</v>
      </c>
      <c r="AU88" s="82">
        <v>0.53</v>
      </c>
      <c r="AV88" s="86" t="s">
        <v>41</v>
      </c>
      <c r="AW88" s="28" t="s">
        <v>45</v>
      </c>
      <c r="AX88" s="29">
        <f>AVERAGE(O88:Q88)+0.25*MAX(0,(COUNT(U88,W88,Y88,AA88,AC88,AE88,AG88,AI88,AK88,AM88,AO88,AQ88)-3))+IF(AU88&gt;0.55,0.25,0)+IF(MAX(U88,W88,Y88,AA88,AC88,AE88,AG88,AI88,AK88,AM88,AO88,AQ88)&gt;5,0.25,0)</f>
        <v>3.4166666666666665</v>
      </c>
      <c r="AY88" s="30" t="str">
        <f>IF(AX88&gt;9,"SuperStar",IF(AX88&gt;8,"Star",IF(AX88&gt;6.5,"GoodReg",IF(AX88&gt;5,"Reg",IF(AX88&gt;4,"Bench","Minors")))))</f>
        <v>Minors</v>
      </c>
      <c r="AZ88" s="30">
        <f>AVERAGE(R88:T88)+0.25*MAX(0,(COUNT(V88,X88,Z88,AB88,AD88,AF88,AH88,AJ88,AL88,AN88,AP88,AR88)-3))+IF(AU88&gt;0.55,0.25,0)+IF(MAX(V88,X88,Z88,AB88,AD88,AF88,AH88,AJ88,AL88,AN88,AP88,AR88)&gt;5,0.25,0)</f>
        <v>4.4166666666666661</v>
      </c>
      <c r="BA88" s="30" t="str">
        <f>IF(AZ88&gt;9,"SuperStar",IF(AZ88&gt;8,"Star",IF(AZ88&gt;6.5,"GoodReg",IF(AZ88&gt;5,"Reg",IF(AZ88&gt;4,"Bench","Minors")))))</f>
        <v>Bench</v>
      </c>
      <c r="BB88" s="30">
        <f>MIN(AX88+(MAX(0,25-S88))^1.5,AZ88)</f>
        <v>4.4166666666666661</v>
      </c>
      <c r="BC88" s="30" t="str">
        <f>IF(BB88&gt;9,"SuperStar",IF(BB88&gt;8,"Star",IF(BB88&gt;6.5,"GoodReg",IF(BB88&gt;5,"Reg",IF(BB88&gt;4,"Bench","Minors")))))</f>
        <v>Bench</v>
      </c>
      <c r="BD88" s="108">
        <f>COUNT(U88:AR88)/2</f>
        <v>6</v>
      </c>
      <c r="BE88" s="109">
        <f>COUNTIF(U88:AR88,"&gt;5")/2</f>
        <v>0</v>
      </c>
      <c r="BF88" s="27" t="str">
        <f>IF(AW88=1,"Yes","")</f>
        <v/>
      </c>
      <c r="BG88" s="27" t="str">
        <f>IF(A88="ML","There",IF(AVERAGE($R88:$T88)&gt;=6,"Likely",IF(AVERAGE($R88:$T88)&gt;=4,"Possible","Unlikely")))</f>
        <v>Unlikely</v>
      </c>
      <c r="BH88" t="str">
        <f>IF(AVERAGE(O88:Q88)&gt;=5.5,"ML",IF(AVERAGE(O88:Q88)&gt;=4.5,"AAA",IF(AVERAGE(O88:Q88)&gt;=4,"AA",IF(AVERAGE(O88:Q88)&gt;=3.5,"A","SS-A"))))</f>
        <v>SS-A</v>
      </c>
      <c r="BI88">
        <f>SUM(O88:Q88)</f>
        <v>8</v>
      </c>
      <c r="BJ88">
        <f>SUM(R88:T88)</f>
        <v>11</v>
      </c>
      <c r="BK88">
        <f>O88-R88</f>
        <v>0</v>
      </c>
      <c r="BL88">
        <f>P88-S88</f>
        <v>0</v>
      </c>
      <c r="BM88">
        <f>Q88-T88</f>
        <v>-3</v>
      </c>
      <c r="BN88">
        <f>SUM(BK88:BM88)</f>
        <v>-3</v>
      </c>
    </row>
    <row r="89" spans="1:66">
      <c r="A89" s="96" t="s">
        <v>645</v>
      </c>
      <c r="C89" t="str">
        <f>IF(OR(OR(M89="Very High",M89="High"),AND(OR(M89="Very High",M89="High",M89="Normal"),OR(N89="Very High",N89="High"))),"K","T")</f>
        <v>K</v>
      </c>
      <c r="D89" s="27" t="s">
        <v>110</v>
      </c>
      <c r="E89" s="27" t="s">
        <v>457</v>
      </c>
      <c r="F89" s="27" t="s">
        <v>383</v>
      </c>
      <c r="G89" s="27" t="s">
        <v>327</v>
      </c>
      <c r="H89" s="27">
        <v>21</v>
      </c>
      <c r="I89" s="27" t="s">
        <v>106</v>
      </c>
      <c r="J89" s="28" t="s">
        <v>106</v>
      </c>
      <c r="K89" s="27" t="s">
        <v>47</v>
      </c>
      <c r="L89" s="27" t="s">
        <v>47</v>
      </c>
      <c r="M89" s="27" t="s">
        <v>228</v>
      </c>
      <c r="N89" s="28" t="s">
        <v>228</v>
      </c>
      <c r="O89" s="27">
        <v>3</v>
      </c>
      <c r="P89" s="27">
        <v>4</v>
      </c>
      <c r="Q89" s="28">
        <v>2</v>
      </c>
      <c r="R89" s="27">
        <v>3</v>
      </c>
      <c r="S89" s="27">
        <v>4</v>
      </c>
      <c r="T89" s="28">
        <v>5</v>
      </c>
      <c r="U89" s="27">
        <v>4</v>
      </c>
      <c r="V89" s="27">
        <v>4</v>
      </c>
      <c r="W89" s="27">
        <v>2</v>
      </c>
      <c r="X89" s="27">
        <v>3</v>
      </c>
      <c r="Y89" s="27">
        <v>3</v>
      </c>
      <c r="Z89" s="27">
        <v>3</v>
      </c>
      <c r="AA89" s="27" t="s">
        <v>41</v>
      </c>
      <c r="AB89" s="27" t="s">
        <v>41</v>
      </c>
      <c r="AC89" s="27" t="s">
        <v>41</v>
      </c>
      <c r="AD89" s="27" t="s">
        <v>41</v>
      </c>
      <c r="AE89" s="27">
        <v>3</v>
      </c>
      <c r="AF89" s="27">
        <v>3</v>
      </c>
      <c r="AG89" s="27" t="s">
        <v>41</v>
      </c>
      <c r="AH89" s="27" t="s">
        <v>41</v>
      </c>
      <c r="AI89" s="27" t="s">
        <v>41</v>
      </c>
      <c r="AJ89" s="27" t="s">
        <v>41</v>
      </c>
      <c r="AK89" s="27" t="s">
        <v>41</v>
      </c>
      <c r="AL89" s="27" t="s">
        <v>41</v>
      </c>
      <c r="AM89" s="27" t="s">
        <v>41</v>
      </c>
      <c r="AN89" s="27" t="s">
        <v>41</v>
      </c>
      <c r="AO89" s="27" t="s">
        <v>41</v>
      </c>
      <c r="AP89" s="27" t="s">
        <v>41</v>
      </c>
      <c r="AQ89" s="27" t="s">
        <v>41</v>
      </c>
      <c r="AR89" s="28" t="s">
        <v>41</v>
      </c>
      <c r="AS89" s="27" t="s">
        <v>0</v>
      </c>
      <c r="AT89" s="27">
        <v>5</v>
      </c>
      <c r="AU89" s="82">
        <v>0.45</v>
      </c>
      <c r="AV89" s="86" t="s">
        <v>41</v>
      </c>
      <c r="AW89" s="28" t="s">
        <v>45</v>
      </c>
      <c r="AX89" s="29">
        <f>AVERAGE(O89:Q89)+0.25*MAX(0,(COUNT(U89,W89,Y89,AA89,AC89,AE89,AG89,AI89,AK89,AM89,AO89,AQ89)-3))+IF(AU89&gt;0.55,0.25,0)+IF(MAX(U89,W89,Y89,AA89,AC89,AE89,AG89,AI89,AK89,AM89,AO89,AQ89)&gt;5,0.25,0)</f>
        <v>3.25</v>
      </c>
      <c r="AY89" s="30" t="str">
        <f>IF(AX89&gt;9,"SuperStar",IF(AX89&gt;8,"Star",IF(AX89&gt;6.5,"GoodReg",IF(AX89&gt;5,"Reg",IF(AX89&gt;4,"Bench","Minors")))))</f>
        <v>Minors</v>
      </c>
      <c r="AZ89" s="30">
        <f>AVERAGE(R89:T89)+0.25*MAX(0,(COUNT(V89,X89,Z89,AB89,AD89,AF89,AH89,AJ89,AL89,AN89,AP89,AR89)-3))+IF(AU89&gt;0.55,0.25,0)+IF(MAX(V89,X89,Z89,AB89,AD89,AF89,AH89,AJ89,AL89,AN89,AP89,AR89)&gt;5,0.25,0)</f>
        <v>4.25</v>
      </c>
      <c r="BA89" s="30" t="str">
        <f>IF(AZ89&gt;9,"SuperStar",IF(AZ89&gt;8,"Star",IF(AZ89&gt;6.5,"GoodReg",IF(AZ89&gt;5,"Reg",IF(AZ89&gt;4,"Bench","Minors")))))</f>
        <v>Bench</v>
      </c>
      <c r="BB89" s="30">
        <f>MIN(AX89+(MAX(0,25-S89))^1.5,AZ89)</f>
        <v>4.25</v>
      </c>
      <c r="BC89" s="30" t="str">
        <f>IF(BB89&gt;9,"SuperStar",IF(BB89&gt;8,"Star",IF(BB89&gt;6.5,"GoodReg",IF(BB89&gt;5,"Reg",IF(BB89&gt;4,"Bench","Minors")))))</f>
        <v>Bench</v>
      </c>
      <c r="BD89" s="108">
        <f>COUNT(U89:AR89)/2</f>
        <v>4</v>
      </c>
      <c r="BE89" s="109">
        <f>COUNTIF(U89:AR89,"&gt;5")/2</f>
        <v>0</v>
      </c>
      <c r="BF89" s="27" t="str">
        <f>IF(AW89=1,"Yes","")</f>
        <v/>
      </c>
      <c r="BG89" s="27" t="str">
        <f>IF(A89="ML","There",IF(AVERAGE($R89:$T89)&gt;=6,"Likely",IF(AVERAGE($R89:$T89)&gt;=4,"Possible","Unlikely")))</f>
        <v>Possible</v>
      </c>
      <c r="BH89" t="str">
        <f>IF(AVERAGE(O89:Q89)&gt;=5.5,"ML",IF(AVERAGE(O89:Q89)&gt;=4.5,"AAA",IF(AVERAGE(O89:Q89)&gt;=4,"AA",IF(AVERAGE(O89:Q89)&gt;=3.5,"A","SS-A"))))</f>
        <v>SS-A</v>
      </c>
      <c r="BI89">
        <f>SUM(O89:Q89)</f>
        <v>9</v>
      </c>
      <c r="BJ89">
        <f>SUM(R89:T89)</f>
        <v>12</v>
      </c>
      <c r="BK89">
        <f>O89-R89</f>
        <v>0</v>
      </c>
      <c r="BL89">
        <f>P89-S89</f>
        <v>0</v>
      </c>
      <c r="BM89">
        <f>Q89-T89</f>
        <v>-3</v>
      </c>
      <c r="BN89">
        <f>SUM(BK89:BM89)</f>
        <v>-3</v>
      </c>
    </row>
    <row r="90" spans="1:66">
      <c r="A90" s="96" t="s">
        <v>645</v>
      </c>
      <c r="C90" t="str">
        <f>IF(OR(OR(M90="Very High",M90="High"),AND(OR(M90="Very High",M90="High",M90="Normal"),OR(N90="Very High",N90="High"))),"K","T")</f>
        <v>T</v>
      </c>
      <c r="D90" s="27" t="s">
        <v>110</v>
      </c>
      <c r="E90" s="27" t="s">
        <v>643</v>
      </c>
      <c r="F90" s="27" t="s">
        <v>383</v>
      </c>
      <c r="G90" s="27" t="s">
        <v>327</v>
      </c>
      <c r="H90" s="27">
        <v>18</v>
      </c>
      <c r="I90" s="27" t="s">
        <v>107</v>
      </c>
      <c r="J90" s="28" t="s">
        <v>107</v>
      </c>
      <c r="K90" s="27" t="s">
        <v>47</v>
      </c>
      <c r="L90" s="27" t="s">
        <v>47</v>
      </c>
      <c r="M90" s="27" t="s">
        <v>231</v>
      </c>
      <c r="N90" s="28" t="s">
        <v>231</v>
      </c>
      <c r="O90" s="27">
        <v>1</v>
      </c>
      <c r="P90" s="27">
        <v>4</v>
      </c>
      <c r="Q90" s="28">
        <v>1</v>
      </c>
      <c r="R90" s="27">
        <v>3</v>
      </c>
      <c r="S90" s="27">
        <v>4</v>
      </c>
      <c r="T90" s="28">
        <v>4</v>
      </c>
      <c r="U90" s="27">
        <v>1</v>
      </c>
      <c r="V90" s="27">
        <v>2</v>
      </c>
      <c r="W90" s="27">
        <v>1</v>
      </c>
      <c r="X90" s="27">
        <v>4</v>
      </c>
      <c r="Y90" s="27">
        <v>1</v>
      </c>
      <c r="Z90" s="27">
        <v>3</v>
      </c>
      <c r="AA90" s="27" t="s">
        <v>41</v>
      </c>
      <c r="AB90" s="27" t="s">
        <v>41</v>
      </c>
      <c r="AC90" s="27" t="s">
        <v>41</v>
      </c>
      <c r="AD90" s="27" t="s">
        <v>41</v>
      </c>
      <c r="AE90" s="27">
        <v>2</v>
      </c>
      <c r="AF90" s="27">
        <v>3</v>
      </c>
      <c r="AG90" s="27" t="s">
        <v>41</v>
      </c>
      <c r="AH90" s="27" t="s">
        <v>41</v>
      </c>
      <c r="AI90" s="27" t="s">
        <v>41</v>
      </c>
      <c r="AJ90" s="27" t="s">
        <v>41</v>
      </c>
      <c r="AK90" s="27" t="s">
        <v>41</v>
      </c>
      <c r="AL90" s="27" t="s">
        <v>41</v>
      </c>
      <c r="AM90" s="27" t="s">
        <v>41</v>
      </c>
      <c r="AN90" s="27" t="s">
        <v>41</v>
      </c>
      <c r="AO90" s="27" t="s">
        <v>41</v>
      </c>
      <c r="AP90" s="27" t="s">
        <v>41</v>
      </c>
      <c r="AQ90" s="27" t="s">
        <v>41</v>
      </c>
      <c r="AR90" s="28" t="s">
        <v>41</v>
      </c>
      <c r="AS90" s="27" t="s">
        <v>644</v>
      </c>
      <c r="AT90" s="27">
        <v>10</v>
      </c>
      <c r="AU90" s="82">
        <v>0.52</v>
      </c>
      <c r="AV90" s="86" t="s">
        <v>41</v>
      </c>
      <c r="AW90" s="28">
        <v>0</v>
      </c>
      <c r="AX90" s="29">
        <f>AVERAGE(O90:Q90)+0.25*MAX(0,(COUNT(U90,W90,Y90,AA90,AC90,AE90,AG90,AI90,AK90,AM90,AO90,AQ90)-3))+IF(AU90&gt;0.55,0.25,0)+IF(MAX(U90,W90,Y90,AA90,AC90,AE90,AG90,AI90,AK90,AM90,AO90,AQ90)&gt;5,0.25,0)</f>
        <v>2.25</v>
      </c>
      <c r="AY90" s="30" t="str">
        <f>IF(AX90&gt;9,"SuperStar",IF(AX90&gt;8,"Star",IF(AX90&gt;6.5,"GoodReg",IF(AX90&gt;5,"Reg",IF(AX90&gt;4,"Bench","Minors")))))</f>
        <v>Minors</v>
      </c>
      <c r="AZ90" s="30">
        <f>AVERAGE(R90:T90)+0.25*MAX(0,(COUNT(V90,X90,Z90,AB90,AD90,AF90,AH90,AJ90,AL90,AN90,AP90,AR90)-3))+IF(AU90&gt;0.55,0.25,0)+IF(MAX(V90,X90,Z90,AB90,AD90,AF90,AH90,AJ90,AL90,AN90,AP90,AR90)&gt;5,0.25,0)</f>
        <v>3.9166666666666665</v>
      </c>
      <c r="BA90" s="30" t="str">
        <f>IF(AZ90&gt;9,"SuperStar",IF(AZ90&gt;8,"Star",IF(AZ90&gt;6.5,"GoodReg",IF(AZ90&gt;5,"Reg",IF(AZ90&gt;4,"Bench","Minors")))))</f>
        <v>Minors</v>
      </c>
      <c r="BB90" s="30">
        <f>MIN(AX90+(MAX(0,25-S90))^1.5,AZ90)</f>
        <v>3.9166666666666665</v>
      </c>
      <c r="BC90" s="30" t="str">
        <f>IF(BB90&gt;9,"SuperStar",IF(BB90&gt;8,"Star",IF(BB90&gt;6.5,"GoodReg",IF(BB90&gt;5,"Reg",IF(BB90&gt;4,"Bench","Minors")))))</f>
        <v>Minors</v>
      </c>
      <c r="BD90" s="108">
        <f>COUNT(U90:AR90)/2</f>
        <v>4</v>
      </c>
      <c r="BE90" s="109">
        <f>COUNTIF(U90:AR90,"&gt;5")/2</f>
        <v>0</v>
      </c>
      <c r="BF90" s="27" t="str">
        <f>IF(AW90=1,"Yes","")</f>
        <v/>
      </c>
      <c r="BG90" s="27" t="str">
        <f>IF(A90="ML","There",IF(AVERAGE($R90:$T90)&gt;=6,"Likely",IF(AVERAGE($R90:$T90)&gt;=4,"Possible","Unlikely")))</f>
        <v>Unlikely</v>
      </c>
      <c r="BH90" t="str">
        <f>IF(AVERAGE(O90:Q90)&gt;=5.5,"ML",IF(AVERAGE(O90:Q90)&gt;=4.5,"AAA",IF(AVERAGE(O90:Q90)&gt;=4,"AA",IF(AVERAGE(O90:Q90)&gt;=3.5,"A","SS-A"))))</f>
        <v>SS-A</v>
      </c>
      <c r="BI90">
        <f>SUM(O90:Q90)</f>
        <v>6</v>
      </c>
      <c r="BJ90">
        <f>SUM(R90:T90)</f>
        <v>11</v>
      </c>
      <c r="BK90">
        <f>O90-R90</f>
        <v>-2</v>
      </c>
      <c r="BL90">
        <f>P90-S90</f>
        <v>0</v>
      </c>
      <c r="BM90">
        <f>Q90-T90</f>
        <v>-3</v>
      </c>
      <c r="BN90">
        <f>SUM(BK90:BM90)</f>
        <v>-5</v>
      </c>
    </row>
    <row r="91" spans="1:66">
      <c r="A91" s="96" t="s">
        <v>646</v>
      </c>
      <c r="C91" t="str">
        <f>IF(OR(OR(M91="Very High",M91="High"),AND(OR(M91="Very High",M91="High",M91="Normal"),OR(N91="Very High",N91="High"))),"K","T")</f>
        <v>T</v>
      </c>
      <c r="D91" s="27" t="s">
        <v>101</v>
      </c>
      <c r="E91" s="27" t="s">
        <v>496</v>
      </c>
      <c r="F91" s="27" t="s">
        <v>383</v>
      </c>
      <c r="G91" s="27" t="s">
        <v>327</v>
      </c>
      <c r="H91" s="27">
        <v>19</v>
      </c>
      <c r="I91" s="27" t="s">
        <v>107</v>
      </c>
      <c r="J91" s="28" t="s">
        <v>107</v>
      </c>
      <c r="K91" s="27" t="s">
        <v>47</v>
      </c>
      <c r="L91" s="27" t="s">
        <v>48</v>
      </c>
      <c r="M91" s="27" t="s">
        <v>231</v>
      </c>
      <c r="N91" s="28" t="s">
        <v>228</v>
      </c>
      <c r="O91" s="27">
        <v>2</v>
      </c>
      <c r="P91" s="27">
        <v>3</v>
      </c>
      <c r="Q91" s="28">
        <v>1</v>
      </c>
      <c r="R91" s="27">
        <v>3</v>
      </c>
      <c r="S91" s="27">
        <v>3</v>
      </c>
      <c r="T91" s="28">
        <v>4</v>
      </c>
      <c r="U91" s="27">
        <v>2</v>
      </c>
      <c r="V91" s="27">
        <v>3</v>
      </c>
      <c r="W91" s="27" t="s">
        <v>41</v>
      </c>
      <c r="X91" s="27" t="s">
        <v>41</v>
      </c>
      <c r="Y91" s="27" t="s">
        <v>41</v>
      </c>
      <c r="Z91" s="27" t="s">
        <v>41</v>
      </c>
      <c r="AA91" s="27">
        <v>2</v>
      </c>
      <c r="AB91" s="27">
        <v>4</v>
      </c>
      <c r="AC91" s="27" t="s">
        <v>41</v>
      </c>
      <c r="AD91" s="27" t="s">
        <v>41</v>
      </c>
      <c r="AE91" s="27" t="s">
        <v>41</v>
      </c>
      <c r="AF91" s="27" t="s">
        <v>41</v>
      </c>
      <c r="AG91" s="27" t="s">
        <v>41</v>
      </c>
      <c r="AH91" s="27" t="s">
        <v>41</v>
      </c>
      <c r="AI91" s="27" t="s">
        <v>41</v>
      </c>
      <c r="AJ91" s="27" t="s">
        <v>41</v>
      </c>
      <c r="AK91" s="27" t="s">
        <v>41</v>
      </c>
      <c r="AL91" s="27" t="s">
        <v>41</v>
      </c>
      <c r="AM91" s="27" t="s">
        <v>41</v>
      </c>
      <c r="AN91" s="27" t="s">
        <v>41</v>
      </c>
      <c r="AO91" s="27" t="s">
        <v>41</v>
      </c>
      <c r="AP91" s="27" t="s">
        <v>41</v>
      </c>
      <c r="AQ91" s="27" t="s">
        <v>41</v>
      </c>
      <c r="AR91" s="28" t="s">
        <v>41</v>
      </c>
      <c r="AS91" s="27" t="s">
        <v>431</v>
      </c>
      <c r="AT91" s="27">
        <v>8</v>
      </c>
      <c r="AU91" s="82">
        <v>0.45</v>
      </c>
      <c r="AV91" s="86" t="s">
        <v>41</v>
      </c>
      <c r="AW91" s="28">
        <v>0</v>
      </c>
      <c r="AX91" s="29">
        <f>AVERAGE(O91:Q91)+0.25*MAX(0,(COUNT(U91,W91,Y91,AA91,AC91,AE91,AG91,AI91,AK91,AM91,AO91,AQ91)-3))+IF(AU91&gt;0.55,0.25,0)+IF(MAX(U91,W91,Y91,AA91,AC91,AE91,AG91,AI91,AK91,AM91,AO91,AQ91)&gt;5,0.25,0)</f>
        <v>2</v>
      </c>
      <c r="AY91" s="30" t="str">
        <f>IF(AX91&gt;9,"SuperStar",IF(AX91&gt;8,"Star",IF(AX91&gt;6.5,"GoodReg",IF(AX91&gt;5,"Reg",IF(AX91&gt;4,"Bench","Minors")))))</f>
        <v>Minors</v>
      </c>
      <c r="AZ91" s="30">
        <f>AVERAGE(R91:T91)+0.25*MAX(0,(COUNT(V91,X91,Z91,AB91,AD91,AF91,AH91,AJ91,AL91,AN91,AP91,AR91)-3))+IF(AU91&gt;0.55,0.25,0)+IF(MAX(V91,X91,Z91,AB91,AD91,AF91,AH91,AJ91,AL91,AN91,AP91,AR91)&gt;5,0.25,0)</f>
        <v>3.3333333333333335</v>
      </c>
      <c r="BA91" s="30" t="str">
        <f>IF(AZ91&gt;9,"SuperStar",IF(AZ91&gt;8,"Star",IF(AZ91&gt;6.5,"GoodReg",IF(AZ91&gt;5,"Reg",IF(AZ91&gt;4,"Bench","Minors")))))</f>
        <v>Minors</v>
      </c>
      <c r="BB91" s="30">
        <f>MIN(AX91+(MAX(0,25-S91))^1.5,AZ91)</f>
        <v>3.3333333333333335</v>
      </c>
      <c r="BC91" s="30" t="str">
        <f>IF(BB91&gt;9,"SuperStar",IF(BB91&gt;8,"Star",IF(BB91&gt;6.5,"GoodReg",IF(BB91&gt;5,"Reg",IF(BB91&gt;4,"Bench","Minors")))))</f>
        <v>Minors</v>
      </c>
      <c r="BD91" s="108">
        <f>COUNT(U91:AR91)/2</f>
        <v>2</v>
      </c>
      <c r="BE91" s="109">
        <f>COUNTIF(U91:AR91,"&gt;5")/2</f>
        <v>0</v>
      </c>
      <c r="BF91" s="27" t="str">
        <f>IF(AW91=1,"Yes","")</f>
        <v/>
      </c>
      <c r="BG91" s="27" t="str">
        <f>IF(A91="ML","There",IF(AVERAGE($R91:$T91)&gt;=6,"Likely",IF(AVERAGE($R91:$T91)&gt;=4,"Possible","Unlikely")))</f>
        <v>Unlikely</v>
      </c>
      <c r="BH91" t="str">
        <f>IF(AVERAGE(O91:Q91)&gt;=5.5,"ML",IF(AVERAGE(O91:Q91)&gt;=4.5,"AAA",IF(AVERAGE(O91:Q91)&gt;=4,"AA",IF(AVERAGE(O91:Q91)&gt;=3.5,"A","SS-A"))))</f>
        <v>SS-A</v>
      </c>
      <c r="BI91">
        <f>SUM(O91:Q91)</f>
        <v>6</v>
      </c>
      <c r="BJ91">
        <f>SUM(R91:T91)</f>
        <v>10</v>
      </c>
      <c r="BK91">
        <f>O91-R91</f>
        <v>-1</v>
      </c>
      <c r="BL91">
        <f>P91-S91</f>
        <v>0</v>
      </c>
      <c r="BM91">
        <f>Q91-T91</f>
        <v>-3</v>
      </c>
      <c r="BN91">
        <f>SUM(BK91:BM91)</f>
        <v>-4</v>
      </c>
    </row>
    <row r="92" spans="1:66">
      <c r="A92" s="96"/>
      <c r="C92" t="str">
        <f>IF(OR(OR(M92="Very High",M92="High"),AND(OR(M92="Very High",M92="High",M92="Normal"),OR(N92="Very High",N92="High"))),"K","T")</f>
        <v>T</v>
      </c>
      <c r="D92" s="27" t="s">
        <v>110</v>
      </c>
      <c r="E92" s="27" t="s">
        <v>470</v>
      </c>
      <c r="F92" s="27" t="s">
        <v>383</v>
      </c>
      <c r="G92" s="27" t="s">
        <v>327</v>
      </c>
      <c r="H92" s="27">
        <v>22</v>
      </c>
      <c r="I92" s="27" t="s">
        <v>107</v>
      </c>
      <c r="J92" s="28" t="s">
        <v>107</v>
      </c>
      <c r="K92" s="27" t="s">
        <v>47</v>
      </c>
      <c r="L92" s="27" t="s">
        <v>47</v>
      </c>
      <c r="M92" s="27" t="s">
        <v>231</v>
      </c>
      <c r="N92" s="28" t="s">
        <v>230</v>
      </c>
      <c r="O92" s="27">
        <v>3</v>
      </c>
      <c r="P92" s="27">
        <v>3</v>
      </c>
      <c r="Q92" s="28">
        <v>3</v>
      </c>
      <c r="R92" s="27">
        <v>4</v>
      </c>
      <c r="S92" s="27">
        <v>3</v>
      </c>
      <c r="T92" s="28">
        <v>5</v>
      </c>
      <c r="U92" s="27">
        <v>6</v>
      </c>
      <c r="V92" s="27">
        <v>6</v>
      </c>
      <c r="W92" s="27">
        <v>3</v>
      </c>
      <c r="X92" s="27">
        <v>3</v>
      </c>
      <c r="Y92" s="27">
        <v>3</v>
      </c>
      <c r="Z92" s="27">
        <v>3</v>
      </c>
      <c r="AA92" s="27" t="s">
        <v>41</v>
      </c>
      <c r="AB92" s="27" t="s">
        <v>41</v>
      </c>
      <c r="AC92" s="27" t="s">
        <v>41</v>
      </c>
      <c r="AD92" s="27" t="s">
        <v>41</v>
      </c>
      <c r="AE92" s="27">
        <v>5</v>
      </c>
      <c r="AF92" s="27">
        <v>5</v>
      </c>
      <c r="AG92" s="27" t="s">
        <v>41</v>
      </c>
      <c r="AH92" s="27" t="s">
        <v>41</v>
      </c>
      <c r="AI92" s="27" t="s">
        <v>41</v>
      </c>
      <c r="AJ92" s="27" t="s">
        <v>41</v>
      </c>
      <c r="AK92" s="27" t="s">
        <v>41</v>
      </c>
      <c r="AL92" s="27" t="s">
        <v>41</v>
      </c>
      <c r="AM92" s="27" t="s">
        <v>41</v>
      </c>
      <c r="AN92" s="27" t="s">
        <v>41</v>
      </c>
      <c r="AO92" s="27" t="s">
        <v>41</v>
      </c>
      <c r="AP92" s="27" t="s">
        <v>41</v>
      </c>
      <c r="AQ92" s="27" t="s">
        <v>41</v>
      </c>
      <c r="AR92" s="28" t="s">
        <v>41</v>
      </c>
      <c r="AS92" s="27" t="s">
        <v>252</v>
      </c>
      <c r="AT92" s="27">
        <v>6</v>
      </c>
      <c r="AU92" s="82">
        <v>0.43</v>
      </c>
      <c r="AV92" s="86" t="s">
        <v>41</v>
      </c>
      <c r="AW92" s="28" t="s">
        <v>45</v>
      </c>
      <c r="AX92" s="29">
        <f>AVERAGE(O92:Q92)+0.25*MAX(0,(COUNT(U92,W92,Y92,AA92,AC92,AE92,AG92,AI92,AK92,AM92,AO92,AQ92)-3))+IF(AU92&gt;0.55,0.25,0)+IF(MAX(U92,W92,Y92,AA92,AC92,AE92,AG92,AI92,AK92,AM92,AO92,AQ92)&gt;5,0.25,0)</f>
        <v>3.5</v>
      </c>
      <c r="AY92" s="30" t="str">
        <f>IF(AX92&gt;9,"SuperStar",IF(AX92&gt;8,"Star",IF(AX92&gt;6.5,"GoodReg",IF(AX92&gt;5,"Reg",IF(AX92&gt;4,"Bench","Minors")))))</f>
        <v>Minors</v>
      </c>
      <c r="AZ92" s="30">
        <f>AVERAGE(R92:T92)+0.25*MAX(0,(COUNT(V92,X92,Z92,AB92,AD92,AF92,AH92,AJ92,AL92,AN92,AP92,AR92)-3))+IF(AU92&gt;0.55,0.25,0)+IF(MAX(V92,X92,Z92,AB92,AD92,AF92,AH92,AJ92,AL92,AN92,AP92,AR92)&gt;5,0.25,0)</f>
        <v>4.5</v>
      </c>
      <c r="BA92" s="30" t="str">
        <f>IF(AZ92&gt;9,"SuperStar",IF(AZ92&gt;8,"Star",IF(AZ92&gt;6.5,"GoodReg",IF(AZ92&gt;5,"Reg",IF(AZ92&gt;4,"Bench","Minors")))))</f>
        <v>Bench</v>
      </c>
      <c r="BB92" s="30">
        <f>MIN(AX92+(MAX(0,25-S92))^1.5,AZ92)</f>
        <v>4.5</v>
      </c>
      <c r="BC92" s="30" t="str">
        <f>IF(BB92&gt;9,"SuperStar",IF(BB92&gt;8,"Star",IF(BB92&gt;6.5,"GoodReg",IF(BB92&gt;5,"Reg",IF(BB92&gt;4,"Bench","Minors")))))</f>
        <v>Bench</v>
      </c>
      <c r="BD92" s="108">
        <f>COUNT(U92:AR92)/2</f>
        <v>4</v>
      </c>
      <c r="BE92" s="109">
        <f>COUNTIF(U92:AR92,"&gt;5")/2</f>
        <v>1</v>
      </c>
      <c r="BF92" s="27" t="str">
        <f>IF(AW92=1,"Yes","")</f>
        <v/>
      </c>
      <c r="BG92" s="27" t="str">
        <f>IF(A92="ML","There",IF(AVERAGE($R92:$T92)&gt;=6,"Likely",IF(AVERAGE($R92:$T92)&gt;=4,"Possible","Unlikely")))</f>
        <v>Possible</v>
      </c>
      <c r="BH92" t="str">
        <f>IF(AVERAGE(O92:Q92)&gt;=5.5,"ML",IF(AVERAGE(O92:Q92)&gt;=4.5,"AAA",IF(AVERAGE(O92:Q92)&gt;=4,"AA",IF(AVERAGE(O92:Q92)&gt;=3.5,"A","SS-A"))))</f>
        <v>SS-A</v>
      </c>
      <c r="BI92">
        <f>SUM(O92:Q92)</f>
        <v>9</v>
      </c>
      <c r="BJ92">
        <f>SUM(R92:T92)</f>
        <v>12</v>
      </c>
      <c r="BK92">
        <f>O92-R92</f>
        <v>-1</v>
      </c>
      <c r="BL92">
        <f>P92-S92</f>
        <v>0</v>
      </c>
      <c r="BM92">
        <f>Q92-T92</f>
        <v>-2</v>
      </c>
      <c r="BN92">
        <f>SUM(BK92:BM92)</f>
        <v>-3</v>
      </c>
    </row>
    <row r="93" spans="1:66">
      <c r="A93" s="96"/>
      <c r="D93" s="27"/>
      <c r="E93" s="27"/>
      <c r="F93" s="27"/>
      <c r="G93" s="27"/>
      <c r="H93" s="27"/>
      <c r="I93" s="27"/>
      <c r="J93" s="28"/>
      <c r="K93" s="27"/>
      <c r="L93" s="27"/>
      <c r="M93" s="27"/>
      <c r="N93" s="28"/>
      <c r="O93" s="27"/>
      <c r="P93" s="27"/>
      <c r="Q93" s="28"/>
      <c r="R93" s="27"/>
      <c r="S93" s="27"/>
      <c r="T93" s="28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27"/>
      <c r="AT93" s="27"/>
      <c r="AU93" s="82"/>
      <c r="AV93" s="86"/>
      <c r="AW93" s="28"/>
      <c r="AX93" s="29"/>
      <c r="AY93" s="30"/>
      <c r="AZ93" s="30"/>
      <c r="BA93" s="30"/>
      <c r="BB93" s="30"/>
      <c r="BC93" s="30"/>
      <c r="BD93" s="108"/>
      <c r="BE93" s="109"/>
      <c r="BF93" s="27"/>
    </row>
    <row r="94" spans="1:66">
      <c r="A94" s="96"/>
      <c r="D94" s="27"/>
      <c r="E94" s="27"/>
      <c r="F94" s="27"/>
      <c r="G94" s="27"/>
      <c r="H94" s="27"/>
      <c r="I94" s="27"/>
      <c r="J94" s="28"/>
      <c r="K94" s="27"/>
      <c r="L94" s="27"/>
      <c r="M94" s="27"/>
      <c r="N94" s="28"/>
      <c r="O94" s="27"/>
      <c r="P94" s="27"/>
      <c r="Q94" s="28"/>
      <c r="R94" s="27"/>
      <c r="S94" s="27"/>
      <c r="T94" s="28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8"/>
      <c r="AS94" s="27"/>
      <c r="AT94" s="27"/>
      <c r="AU94" s="82"/>
      <c r="AV94" s="86"/>
      <c r="AW94" s="28"/>
      <c r="AX94" s="29"/>
      <c r="AY94" s="30"/>
      <c r="AZ94" s="30"/>
      <c r="BA94" s="30"/>
      <c r="BB94" s="30"/>
      <c r="BC94" s="30"/>
      <c r="BD94" s="108"/>
      <c r="BE94" s="109"/>
      <c r="BF94" s="27"/>
    </row>
    <row r="95" spans="1:66">
      <c r="A95" s="96"/>
      <c r="D95" s="27"/>
      <c r="E95" s="27"/>
      <c r="F95" s="27"/>
      <c r="G95" s="27"/>
      <c r="H95" s="27"/>
      <c r="I95" s="27"/>
      <c r="J95" s="28"/>
      <c r="K95" s="27"/>
      <c r="L95" s="27"/>
      <c r="M95" s="27"/>
      <c r="N95" s="28"/>
      <c r="O95" s="27"/>
      <c r="P95" s="27"/>
      <c r="Q95" s="28"/>
      <c r="R95" s="27"/>
      <c r="S95" s="27"/>
      <c r="T95" s="28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8"/>
      <c r="AS95" s="27"/>
      <c r="AT95" s="27"/>
      <c r="AU95" s="82"/>
      <c r="AV95" s="86"/>
      <c r="AW95" s="28"/>
      <c r="AX95" s="29"/>
      <c r="AY95" s="30"/>
      <c r="AZ95" s="30"/>
      <c r="BA95" s="30"/>
      <c r="BB95" s="30"/>
      <c r="BC95" s="30"/>
      <c r="BD95" s="108"/>
      <c r="BE95" s="109"/>
      <c r="BF95" s="27"/>
    </row>
    <row r="96" spans="1:66">
      <c r="A96" s="96"/>
      <c r="D96" s="27"/>
      <c r="E96" s="27"/>
      <c r="F96" s="27"/>
      <c r="G96" s="27"/>
      <c r="H96" s="27"/>
      <c r="I96" s="27"/>
      <c r="J96" s="28"/>
      <c r="K96" s="27"/>
      <c r="L96" s="27"/>
      <c r="M96" s="27"/>
      <c r="N96" s="28"/>
      <c r="O96" s="27"/>
      <c r="P96" s="27"/>
      <c r="Q96" s="28"/>
      <c r="R96" s="27"/>
      <c r="S96" s="27"/>
      <c r="T96" s="28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8"/>
      <c r="AS96" s="27"/>
      <c r="AT96" s="27"/>
      <c r="AU96" s="82"/>
      <c r="AV96" s="86"/>
      <c r="AW96" s="28"/>
      <c r="AX96" s="29"/>
      <c r="AY96" s="30"/>
      <c r="AZ96" s="30"/>
      <c r="BA96" s="30"/>
      <c r="BB96" s="30"/>
      <c r="BC96" s="30"/>
      <c r="BD96" s="108"/>
      <c r="BE96" s="109"/>
      <c r="BF96" s="27"/>
    </row>
    <row r="97" spans="1:58">
      <c r="A97" s="96"/>
      <c r="D97" s="27"/>
      <c r="E97" s="27"/>
      <c r="F97" s="27"/>
      <c r="G97" s="27"/>
      <c r="H97" s="27"/>
      <c r="I97" s="27"/>
      <c r="J97" s="28"/>
      <c r="K97" s="27"/>
      <c r="L97" s="27"/>
      <c r="M97" s="27"/>
      <c r="N97" s="28"/>
      <c r="O97" s="27"/>
      <c r="P97" s="27"/>
      <c r="Q97" s="28"/>
      <c r="R97" s="27"/>
      <c r="S97" s="27"/>
      <c r="T97" s="28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8"/>
      <c r="AS97" s="27"/>
      <c r="AT97" s="27"/>
      <c r="AU97" s="82"/>
      <c r="AV97" s="86"/>
      <c r="AW97" s="28"/>
      <c r="AX97" s="29"/>
      <c r="AY97" s="30"/>
      <c r="AZ97" s="30"/>
      <c r="BA97" s="30"/>
      <c r="BB97" s="30"/>
      <c r="BC97" s="30"/>
      <c r="BD97" s="108"/>
      <c r="BE97" s="109"/>
      <c r="BF97" s="27"/>
    </row>
    <row r="98" spans="1:58">
      <c r="A98" s="96"/>
      <c r="D98" s="27"/>
      <c r="E98" s="27"/>
      <c r="F98" s="27"/>
      <c r="G98" s="27"/>
      <c r="H98" s="27"/>
      <c r="I98" s="27"/>
      <c r="J98" s="28"/>
      <c r="K98" s="27"/>
      <c r="L98" s="27"/>
      <c r="M98" s="27"/>
      <c r="N98" s="28"/>
      <c r="O98" s="27"/>
      <c r="P98" s="27"/>
      <c r="Q98" s="28"/>
      <c r="R98" s="27"/>
      <c r="S98" s="27"/>
      <c r="T98" s="28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8"/>
      <c r="AS98" s="27"/>
      <c r="AT98" s="27"/>
      <c r="AU98" s="82"/>
      <c r="AV98" s="86"/>
      <c r="AW98" s="28"/>
      <c r="AX98" s="29"/>
      <c r="AY98" s="30"/>
      <c r="AZ98" s="30"/>
      <c r="BA98" s="30"/>
      <c r="BB98" s="30"/>
      <c r="BC98" s="30"/>
      <c r="BD98" s="108"/>
      <c r="BE98" s="109"/>
      <c r="BF98" s="27"/>
    </row>
    <row r="99" spans="1:58">
      <c r="A99" s="96"/>
      <c r="D99" s="27"/>
      <c r="E99" s="27"/>
      <c r="F99" s="27"/>
      <c r="G99" s="27"/>
      <c r="H99" s="27"/>
      <c r="I99" s="27"/>
      <c r="J99" s="28"/>
      <c r="K99" s="27"/>
      <c r="L99" s="27"/>
      <c r="M99" s="27"/>
      <c r="N99" s="28"/>
      <c r="O99" s="27"/>
      <c r="P99" s="27"/>
      <c r="Q99" s="28"/>
      <c r="R99" s="27"/>
      <c r="S99" s="27"/>
      <c r="T99" s="28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8"/>
      <c r="AS99" s="27"/>
      <c r="AT99" s="27"/>
      <c r="AU99" s="82"/>
      <c r="AV99" s="86"/>
      <c r="AW99" s="28"/>
      <c r="AX99" s="29"/>
      <c r="AY99" s="30"/>
      <c r="AZ99" s="30"/>
      <c r="BA99" s="30"/>
      <c r="BB99" s="30"/>
      <c r="BC99" s="30"/>
      <c r="BD99" s="108"/>
      <c r="BE99" s="109"/>
      <c r="BF99" s="27"/>
    </row>
    <row r="100" spans="1:58">
      <c r="A100" s="96"/>
      <c r="D100" s="27"/>
      <c r="E100" s="27"/>
      <c r="F100" s="27"/>
      <c r="G100" s="27"/>
      <c r="H100" s="27"/>
      <c r="I100" s="27"/>
      <c r="J100" s="28"/>
      <c r="K100" s="27"/>
      <c r="L100" s="27"/>
      <c r="M100" s="27"/>
      <c r="N100" s="28"/>
      <c r="O100" s="27"/>
      <c r="P100" s="27"/>
      <c r="Q100" s="28"/>
      <c r="R100" s="27"/>
      <c r="S100" s="27"/>
      <c r="T100" s="28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8"/>
      <c r="AS100" s="27"/>
      <c r="AT100" s="27"/>
      <c r="AU100" s="82"/>
      <c r="AV100" s="86"/>
      <c r="AW100" s="28"/>
      <c r="AX100" s="29"/>
      <c r="AY100" s="30"/>
      <c r="AZ100" s="30"/>
      <c r="BA100" s="30"/>
      <c r="BB100" s="30"/>
      <c r="BC100" s="30"/>
      <c r="BD100" s="108"/>
      <c r="BE100" s="109"/>
      <c r="BF100" s="27"/>
    </row>
    <row r="101" spans="1:58">
      <c r="A101" s="96"/>
      <c r="D101" s="27"/>
      <c r="E101" s="27"/>
      <c r="F101" s="27"/>
      <c r="G101" s="27"/>
      <c r="H101" s="27"/>
      <c r="I101" s="27"/>
      <c r="J101" s="28"/>
      <c r="K101" s="27"/>
      <c r="L101" s="27"/>
      <c r="M101" s="27"/>
      <c r="N101" s="28"/>
      <c r="O101" s="27"/>
      <c r="P101" s="27"/>
      <c r="Q101" s="28"/>
      <c r="R101" s="27"/>
      <c r="S101" s="27"/>
      <c r="T101" s="28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8"/>
      <c r="AS101" s="27"/>
      <c r="AT101" s="27"/>
      <c r="AU101" s="82"/>
      <c r="AV101" s="86"/>
      <c r="AW101" s="28"/>
      <c r="AX101" s="29"/>
      <c r="AY101" s="30"/>
      <c r="AZ101" s="30"/>
      <c r="BA101" s="30"/>
      <c r="BB101" s="30"/>
      <c r="BC101" s="30"/>
      <c r="BD101" s="108"/>
      <c r="BE101" s="109"/>
      <c r="BF101" s="27"/>
    </row>
    <row r="102" spans="1:58">
      <c r="A102" s="96"/>
      <c r="D102" s="27"/>
      <c r="E102" s="27"/>
      <c r="F102" s="27"/>
      <c r="G102" s="27"/>
      <c r="H102" s="27"/>
      <c r="I102" s="27"/>
      <c r="J102" s="28"/>
      <c r="K102" s="27"/>
      <c r="L102" s="27"/>
      <c r="M102" s="27"/>
      <c r="N102" s="28"/>
      <c r="O102" s="27"/>
      <c r="P102" s="27"/>
      <c r="Q102" s="28"/>
      <c r="R102" s="27"/>
      <c r="S102" s="27"/>
      <c r="T102" s="28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8"/>
      <c r="AS102" s="27"/>
      <c r="AT102" s="27"/>
      <c r="AU102" s="82"/>
      <c r="AV102" s="86"/>
      <c r="AW102" s="28"/>
      <c r="AX102" s="29"/>
      <c r="AY102" s="30"/>
      <c r="AZ102" s="30"/>
      <c r="BA102" s="30"/>
      <c r="BB102" s="30"/>
      <c r="BC102" s="30"/>
      <c r="BD102" s="108"/>
      <c r="BE102" s="109"/>
      <c r="BF102" s="27"/>
    </row>
    <row r="103" spans="1:58">
      <c r="A103" s="96"/>
      <c r="D103" s="27"/>
      <c r="E103" s="27"/>
      <c r="F103" s="27"/>
      <c r="G103" s="27"/>
      <c r="H103" s="27"/>
      <c r="I103" s="27"/>
      <c r="J103" s="28"/>
      <c r="K103" s="27"/>
      <c r="L103" s="27"/>
      <c r="M103" s="27"/>
      <c r="N103" s="28"/>
      <c r="O103" s="27"/>
      <c r="P103" s="27"/>
      <c r="Q103" s="28"/>
      <c r="R103" s="27"/>
      <c r="S103" s="27"/>
      <c r="T103" s="28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8"/>
      <c r="AS103" s="27"/>
      <c r="AT103" s="27"/>
      <c r="AU103" s="82"/>
      <c r="AV103" s="86"/>
      <c r="AW103" s="28"/>
      <c r="AX103" s="29"/>
      <c r="AY103" s="30"/>
      <c r="AZ103" s="30"/>
      <c r="BA103" s="30"/>
      <c r="BB103" s="30"/>
      <c r="BC103" s="30"/>
      <c r="BD103" s="108"/>
      <c r="BE103" s="109"/>
      <c r="BF103" s="27"/>
    </row>
    <row r="104" spans="1:58">
      <c r="A104" s="96"/>
      <c r="D104" s="27"/>
      <c r="E104" s="27"/>
      <c r="F104" s="27"/>
      <c r="G104" s="27"/>
      <c r="H104" s="27"/>
      <c r="I104" s="27"/>
      <c r="J104" s="28"/>
      <c r="K104" s="27"/>
      <c r="L104" s="27"/>
      <c r="M104" s="27"/>
      <c r="N104" s="28"/>
      <c r="O104" s="27"/>
      <c r="P104" s="27"/>
      <c r="Q104" s="28"/>
      <c r="R104" s="27"/>
      <c r="S104" s="27"/>
      <c r="T104" s="28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8"/>
      <c r="AS104" s="27"/>
      <c r="AT104" s="27"/>
      <c r="AU104" s="82"/>
      <c r="AV104" s="86"/>
      <c r="AW104" s="28"/>
      <c r="AX104" s="29"/>
      <c r="AY104" s="30"/>
      <c r="AZ104" s="30"/>
      <c r="BA104" s="30"/>
      <c r="BB104" s="30"/>
      <c r="BC104" s="30"/>
      <c r="BD104" s="108"/>
      <c r="BE104" s="109"/>
      <c r="BF104" s="27"/>
    </row>
    <row r="105" spans="1:58">
      <c r="A105" s="96"/>
      <c r="D105" s="27"/>
      <c r="E105" s="27"/>
      <c r="F105" s="27"/>
      <c r="G105" s="27"/>
      <c r="H105" s="27"/>
      <c r="I105" s="27"/>
      <c r="J105" s="28"/>
      <c r="K105" s="27"/>
      <c r="L105" s="27"/>
      <c r="M105" s="27"/>
      <c r="N105" s="28"/>
      <c r="O105" s="27"/>
      <c r="P105" s="27"/>
      <c r="Q105" s="28"/>
      <c r="R105" s="27"/>
      <c r="S105" s="27"/>
      <c r="T105" s="28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8"/>
      <c r="AS105" s="27"/>
      <c r="AT105" s="27"/>
      <c r="AU105" s="82"/>
      <c r="AV105" s="86"/>
      <c r="AW105" s="28"/>
      <c r="AX105" s="29"/>
      <c r="AY105" s="30"/>
      <c r="AZ105" s="30"/>
      <c r="BA105" s="30"/>
      <c r="BB105" s="30"/>
      <c r="BC105" s="30"/>
      <c r="BD105" s="108"/>
      <c r="BE105" s="109"/>
      <c r="BF105" s="27"/>
    </row>
    <row r="106" spans="1:58">
      <c r="A106" s="96"/>
      <c r="D106" s="27"/>
      <c r="E106" s="27"/>
      <c r="F106" s="27"/>
      <c r="G106" s="27"/>
      <c r="H106" s="27"/>
      <c r="I106" s="27"/>
      <c r="J106" s="28"/>
      <c r="K106" s="27"/>
      <c r="L106" s="27"/>
      <c r="M106" s="27"/>
      <c r="N106" s="28"/>
      <c r="O106" s="27"/>
      <c r="P106" s="27"/>
      <c r="Q106" s="28"/>
      <c r="R106" s="27"/>
      <c r="S106" s="27"/>
      <c r="T106" s="28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8"/>
      <c r="AS106" s="27"/>
      <c r="AT106" s="27"/>
      <c r="AU106" s="82"/>
      <c r="AV106" s="86"/>
      <c r="AW106" s="28"/>
      <c r="AX106" s="29"/>
      <c r="AY106" s="30"/>
      <c r="AZ106" s="30"/>
      <c r="BA106" s="30"/>
      <c r="BB106" s="30"/>
      <c r="BC106" s="30"/>
      <c r="BD106" s="108"/>
      <c r="BE106" s="109"/>
      <c r="BF106" s="27"/>
    </row>
    <row r="107" spans="1:58">
      <c r="A107" s="96"/>
      <c r="D107" s="27"/>
      <c r="E107" s="27"/>
      <c r="F107" s="27"/>
      <c r="G107" s="27"/>
      <c r="H107" s="27"/>
      <c r="I107" s="27"/>
      <c r="J107" s="28"/>
      <c r="K107" s="27"/>
      <c r="L107" s="27"/>
      <c r="M107" s="27"/>
      <c r="N107" s="28"/>
      <c r="O107" s="27"/>
      <c r="P107" s="27"/>
      <c r="Q107" s="28"/>
      <c r="R107" s="27"/>
      <c r="S107" s="27"/>
      <c r="T107" s="28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8"/>
      <c r="AS107" s="27"/>
      <c r="AT107" s="27"/>
      <c r="AU107" s="82"/>
      <c r="AV107" s="86"/>
      <c r="AW107" s="28"/>
      <c r="AX107" s="29"/>
      <c r="AY107" s="30"/>
      <c r="AZ107" s="30"/>
      <c r="BA107" s="30"/>
      <c r="BB107" s="30"/>
      <c r="BC107" s="30"/>
      <c r="BD107" s="108"/>
      <c r="BE107" s="109"/>
      <c r="BF107" s="27"/>
    </row>
    <row r="108" spans="1:58">
      <c r="A108" s="96"/>
      <c r="D108" s="27"/>
      <c r="E108" s="27"/>
      <c r="F108" s="27"/>
      <c r="G108" s="27"/>
      <c r="H108" s="27"/>
      <c r="I108" s="27"/>
      <c r="J108" s="28"/>
      <c r="K108" s="27"/>
      <c r="L108" s="27"/>
      <c r="M108" s="27"/>
      <c r="N108" s="28"/>
      <c r="O108" s="27"/>
      <c r="P108" s="27"/>
      <c r="Q108" s="28"/>
      <c r="R108" s="27"/>
      <c r="S108" s="27"/>
      <c r="T108" s="28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8"/>
      <c r="AS108" s="27"/>
      <c r="AT108" s="27"/>
      <c r="AU108" s="82"/>
      <c r="AV108" s="86"/>
      <c r="AW108" s="28"/>
      <c r="AX108" s="29"/>
      <c r="AY108" s="30"/>
      <c r="AZ108" s="30"/>
      <c r="BA108" s="30"/>
      <c r="BB108" s="30"/>
      <c r="BC108" s="30"/>
      <c r="BD108" s="108"/>
      <c r="BE108" s="109"/>
      <c r="BF108" s="27"/>
    </row>
    <row r="109" spans="1:58">
      <c r="A109" s="96"/>
      <c r="D109" s="27"/>
      <c r="E109" s="27"/>
      <c r="F109" s="27"/>
      <c r="G109" s="27"/>
      <c r="H109" s="27"/>
      <c r="I109" s="27"/>
      <c r="J109" s="28"/>
      <c r="K109" s="27"/>
      <c r="L109" s="27"/>
      <c r="M109" s="27"/>
      <c r="N109" s="28"/>
      <c r="O109" s="27"/>
      <c r="P109" s="27"/>
      <c r="Q109" s="28"/>
      <c r="R109" s="27"/>
      <c r="S109" s="27"/>
      <c r="T109" s="28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8"/>
      <c r="AS109" s="27"/>
      <c r="AT109" s="27"/>
      <c r="AU109" s="82"/>
      <c r="AV109" s="86"/>
      <c r="AW109" s="28"/>
      <c r="AX109" s="29"/>
      <c r="AY109" s="30"/>
      <c r="AZ109" s="30"/>
      <c r="BA109" s="30"/>
      <c r="BB109" s="30"/>
      <c r="BC109" s="30"/>
      <c r="BD109" s="108"/>
      <c r="BE109" s="109"/>
      <c r="BF109" s="27"/>
    </row>
    <row r="110" spans="1:58">
      <c r="A110" s="96"/>
      <c r="D110" s="27"/>
      <c r="E110" s="27"/>
      <c r="F110" s="27"/>
      <c r="G110" s="27"/>
      <c r="H110" s="27"/>
      <c r="I110" s="27"/>
      <c r="J110" s="28"/>
      <c r="K110" s="27"/>
      <c r="L110" s="27"/>
      <c r="M110" s="27"/>
      <c r="N110" s="28"/>
      <c r="O110" s="27"/>
      <c r="P110" s="27"/>
      <c r="Q110" s="28"/>
      <c r="R110" s="27"/>
      <c r="S110" s="27"/>
      <c r="T110" s="28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8"/>
      <c r="AS110" s="27"/>
      <c r="AT110" s="27"/>
      <c r="AU110" s="82"/>
      <c r="AV110" s="86"/>
      <c r="AW110" s="28"/>
      <c r="AX110" s="29"/>
      <c r="AY110" s="30"/>
      <c r="AZ110" s="30"/>
      <c r="BA110" s="30"/>
      <c r="BB110" s="30"/>
      <c r="BC110" s="30"/>
      <c r="BD110" s="108"/>
      <c r="BE110" s="109"/>
      <c r="BF110" s="27"/>
    </row>
    <row r="111" spans="1:58">
      <c r="A111" s="96"/>
      <c r="D111" s="27"/>
      <c r="E111" s="27"/>
      <c r="F111" s="27"/>
      <c r="G111" s="27"/>
      <c r="H111" s="27"/>
      <c r="I111" s="27"/>
      <c r="J111" s="28"/>
      <c r="K111" s="27"/>
      <c r="L111" s="27"/>
      <c r="M111" s="27"/>
      <c r="N111" s="28"/>
      <c r="O111" s="27"/>
      <c r="P111" s="27"/>
      <c r="Q111" s="28"/>
      <c r="R111" s="27"/>
      <c r="S111" s="27"/>
      <c r="T111" s="28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8"/>
      <c r="AS111" s="27"/>
      <c r="AT111" s="27"/>
      <c r="AU111" s="82"/>
      <c r="AV111" s="86"/>
      <c r="AW111" s="28"/>
      <c r="AX111" s="29"/>
      <c r="AY111" s="30"/>
      <c r="AZ111" s="30"/>
      <c r="BA111" s="30"/>
      <c r="BB111" s="30"/>
      <c r="BC111" s="30"/>
      <c r="BD111" s="108"/>
      <c r="BE111" s="109"/>
      <c r="BF111" s="27"/>
    </row>
    <row r="112" spans="1:58">
      <c r="A112" s="96"/>
      <c r="D112" s="27"/>
      <c r="E112" s="27"/>
      <c r="F112" s="27"/>
      <c r="G112" s="27"/>
      <c r="H112" s="27"/>
      <c r="I112" s="27"/>
      <c r="J112" s="28"/>
      <c r="K112" s="27"/>
      <c r="L112" s="27"/>
      <c r="M112" s="27"/>
      <c r="N112" s="28"/>
      <c r="O112" s="27"/>
      <c r="P112" s="27"/>
      <c r="Q112" s="28"/>
      <c r="R112" s="27"/>
      <c r="S112" s="27"/>
      <c r="T112" s="28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8"/>
      <c r="AS112" s="27"/>
      <c r="AT112" s="27"/>
      <c r="AU112" s="82"/>
      <c r="AV112" s="86"/>
      <c r="AW112" s="28"/>
      <c r="AX112" s="29"/>
      <c r="AY112" s="30"/>
      <c r="AZ112" s="30"/>
      <c r="BA112" s="30"/>
      <c r="BB112" s="30"/>
      <c r="BC112" s="30"/>
      <c r="BD112" s="108"/>
      <c r="BE112" s="109"/>
      <c r="BF112" s="27"/>
    </row>
    <row r="113" spans="1:58">
      <c r="A113" s="96"/>
      <c r="D113" s="27"/>
      <c r="E113" s="27"/>
      <c r="F113" s="27"/>
      <c r="G113" s="27"/>
      <c r="H113" s="27"/>
      <c r="I113" s="27"/>
      <c r="J113" s="28"/>
      <c r="K113" s="27"/>
      <c r="L113" s="27"/>
      <c r="M113" s="27"/>
      <c r="N113" s="28"/>
      <c r="O113" s="27"/>
      <c r="P113" s="27"/>
      <c r="Q113" s="28"/>
      <c r="R113" s="27"/>
      <c r="S113" s="27"/>
      <c r="T113" s="28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8"/>
      <c r="AS113" s="27"/>
      <c r="AT113" s="27"/>
      <c r="AU113" s="82"/>
      <c r="AV113" s="86"/>
      <c r="AW113" s="28"/>
      <c r="AX113" s="29"/>
      <c r="AY113" s="30"/>
      <c r="AZ113" s="30"/>
      <c r="BA113" s="30"/>
      <c r="BB113" s="30"/>
      <c r="BC113" s="30"/>
      <c r="BD113" s="108"/>
      <c r="BE113" s="109"/>
      <c r="BF113" s="27"/>
    </row>
    <row r="114" spans="1:58">
      <c r="A114" s="96"/>
      <c r="D114" s="27"/>
      <c r="E114" s="27"/>
      <c r="F114" s="27"/>
      <c r="G114" s="27"/>
      <c r="H114" s="27"/>
      <c r="I114" s="27"/>
      <c r="J114" s="28"/>
      <c r="K114" s="27"/>
      <c r="L114" s="27"/>
      <c r="M114" s="27"/>
      <c r="N114" s="28"/>
      <c r="O114" s="27"/>
      <c r="P114" s="27"/>
      <c r="Q114" s="28"/>
      <c r="R114" s="27"/>
      <c r="S114" s="27"/>
      <c r="T114" s="28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8"/>
      <c r="AS114" s="27"/>
      <c r="AT114" s="27"/>
      <c r="AU114" s="82"/>
      <c r="AV114" s="86"/>
      <c r="AW114" s="28"/>
      <c r="AX114" s="29"/>
      <c r="AY114" s="30"/>
      <c r="AZ114" s="30"/>
      <c r="BA114" s="30"/>
      <c r="BB114" s="30"/>
      <c r="BC114" s="30"/>
      <c r="BD114" s="108"/>
      <c r="BE114" s="109"/>
      <c r="BF114" s="27"/>
    </row>
    <row r="115" spans="1:58">
      <c r="A115" s="96"/>
      <c r="D115" s="27"/>
      <c r="E115" s="27"/>
      <c r="F115" s="27"/>
      <c r="G115" s="27"/>
      <c r="H115" s="27"/>
      <c r="I115" s="27"/>
      <c r="J115" s="28"/>
      <c r="K115" s="27"/>
      <c r="L115" s="27"/>
      <c r="M115" s="27"/>
      <c r="N115" s="28"/>
      <c r="O115" s="27"/>
      <c r="P115" s="27"/>
      <c r="Q115" s="28"/>
      <c r="R115" s="27"/>
      <c r="S115" s="27"/>
      <c r="T115" s="28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8"/>
      <c r="AS115" s="27"/>
      <c r="AT115" s="27"/>
      <c r="AU115" s="82"/>
      <c r="AV115" s="86"/>
      <c r="AW115" s="28"/>
      <c r="AX115" s="29"/>
      <c r="AY115" s="30"/>
      <c r="AZ115" s="30"/>
      <c r="BA115" s="30"/>
      <c r="BB115" s="30"/>
      <c r="BC115" s="30"/>
      <c r="BD115" s="108"/>
      <c r="BE115" s="109"/>
      <c r="BF115" s="27"/>
    </row>
    <row r="116" spans="1:58">
      <c r="A116" s="96"/>
      <c r="D116" s="27"/>
      <c r="E116" s="27"/>
      <c r="F116" s="27"/>
      <c r="G116" s="27"/>
      <c r="H116" s="27"/>
      <c r="I116" s="27"/>
      <c r="J116" s="28"/>
      <c r="K116" s="27"/>
      <c r="L116" s="27"/>
      <c r="M116" s="27"/>
      <c r="N116" s="28"/>
      <c r="O116" s="27"/>
      <c r="P116" s="27"/>
      <c r="Q116" s="28"/>
      <c r="R116" s="27"/>
      <c r="S116" s="27"/>
      <c r="T116" s="28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8"/>
      <c r="AS116" s="27"/>
      <c r="AT116" s="27"/>
      <c r="AU116" s="82"/>
      <c r="AV116" s="86"/>
      <c r="AW116" s="28"/>
      <c r="AX116" s="29"/>
      <c r="AY116" s="30"/>
      <c r="AZ116" s="30"/>
      <c r="BA116" s="30"/>
      <c r="BB116" s="30"/>
      <c r="BC116" s="30"/>
      <c r="BD116" s="108"/>
      <c r="BE116" s="109"/>
      <c r="BF116" s="27"/>
    </row>
    <row r="117" spans="1:58">
      <c r="A117" s="96"/>
      <c r="D117" s="27"/>
      <c r="E117" s="27"/>
      <c r="F117" s="27"/>
      <c r="G117" s="27"/>
      <c r="H117" s="27"/>
      <c r="I117" s="27"/>
      <c r="J117" s="28"/>
      <c r="K117" s="27"/>
      <c r="L117" s="27"/>
      <c r="M117" s="27"/>
      <c r="N117" s="28"/>
      <c r="O117" s="27"/>
      <c r="P117" s="27"/>
      <c r="Q117" s="28"/>
      <c r="R117" s="27"/>
      <c r="S117" s="27"/>
      <c r="T117" s="28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8"/>
      <c r="AS117" s="27"/>
      <c r="AT117" s="27"/>
      <c r="AU117" s="82"/>
      <c r="AV117" s="86"/>
      <c r="AW117" s="28"/>
      <c r="AX117" s="29"/>
      <c r="AY117" s="30"/>
      <c r="AZ117" s="30"/>
      <c r="BA117" s="30"/>
      <c r="BB117" s="30"/>
      <c r="BC117" s="30"/>
      <c r="BD117" s="108"/>
      <c r="BE117" s="109"/>
      <c r="BF117" s="27"/>
    </row>
    <row r="118" spans="1:58">
      <c r="A118" s="96"/>
      <c r="D118" s="27"/>
      <c r="E118" s="27"/>
      <c r="F118" s="27"/>
      <c r="G118" s="27"/>
      <c r="H118" s="27"/>
      <c r="I118" s="27"/>
      <c r="J118" s="28"/>
      <c r="K118" s="27"/>
      <c r="L118" s="27"/>
      <c r="M118" s="27"/>
      <c r="N118" s="28"/>
      <c r="O118" s="27"/>
      <c r="P118" s="27"/>
      <c r="Q118" s="28"/>
      <c r="R118" s="27"/>
      <c r="S118" s="27"/>
      <c r="T118" s="28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8"/>
      <c r="AS118" s="27"/>
      <c r="AT118" s="27"/>
      <c r="AU118" s="82"/>
      <c r="AV118" s="86"/>
      <c r="AW118" s="28"/>
      <c r="AX118" s="29"/>
      <c r="AY118" s="30"/>
      <c r="AZ118" s="30"/>
      <c r="BA118" s="30"/>
      <c r="BB118" s="30"/>
      <c r="BC118" s="30"/>
      <c r="BD118" s="108"/>
      <c r="BE118" s="109"/>
      <c r="BF118" s="27"/>
    </row>
    <row r="119" spans="1:58">
      <c r="A119" s="96"/>
      <c r="D119" s="27"/>
      <c r="E119" s="27"/>
      <c r="F119" s="27"/>
      <c r="G119" s="27"/>
      <c r="H119" s="27"/>
      <c r="I119" s="27"/>
      <c r="J119" s="28"/>
      <c r="K119" s="27"/>
      <c r="L119" s="27"/>
      <c r="M119" s="27"/>
      <c r="N119" s="28"/>
      <c r="O119" s="27"/>
      <c r="P119" s="27"/>
      <c r="Q119" s="28"/>
      <c r="R119" s="27"/>
      <c r="S119" s="27"/>
      <c r="T119" s="28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8"/>
      <c r="AS119" s="27"/>
      <c r="AT119" s="27"/>
      <c r="AU119" s="82"/>
      <c r="AV119" s="86"/>
      <c r="AW119" s="28"/>
      <c r="AX119" s="29"/>
      <c r="AY119" s="30"/>
      <c r="AZ119" s="30"/>
      <c r="BA119" s="30"/>
      <c r="BB119" s="30"/>
      <c r="BC119" s="30"/>
      <c r="BD119" s="108"/>
      <c r="BE119" s="109"/>
      <c r="BF119" s="27"/>
    </row>
    <row r="120" spans="1:58">
      <c r="A120" s="96"/>
      <c r="D120" s="27"/>
      <c r="E120" s="27"/>
      <c r="F120" s="27"/>
      <c r="G120" s="27"/>
      <c r="H120" s="27"/>
      <c r="I120" s="27"/>
      <c r="J120" s="28"/>
      <c r="K120" s="27"/>
      <c r="L120" s="27"/>
      <c r="M120" s="27"/>
      <c r="N120" s="28"/>
      <c r="O120" s="27"/>
      <c r="P120" s="27"/>
      <c r="Q120" s="28"/>
      <c r="R120" s="27"/>
      <c r="S120" s="27"/>
      <c r="T120" s="28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8"/>
      <c r="AS120" s="27"/>
      <c r="AT120" s="27"/>
      <c r="AU120" s="82"/>
      <c r="AV120" s="86"/>
      <c r="AW120" s="28"/>
      <c r="AX120" s="29"/>
      <c r="AY120" s="30"/>
      <c r="AZ120" s="30"/>
      <c r="BA120" s="30"/>
      <c r="BB120" s="30"/>
      <c r="BC120" s="30"/>
      <c r="BD120" s="108"/>
      <c r="BE120" s="109"/>
      <c r="BF120" s="27"/>
    </row>
    <row r="121" spans="1:58">
      <c r="A121" s="96"/>
      <c r="D121" s="27"/>
      <c r="E121" s="27"/>
      <c r="F121" s="27"/>
      <c r="G121" s="27"/>
      <c r="H121" s="27"/>
      <c r="I121" s="27"/>
      <c r="J121" s="28"/>
      <c r="K121" s="27"/>
      <c r="L121" s="27"/>
      <c r="M121" s="27"/>
      <c r="N121" s="28"/>
      <c r="O121" s="27"/>
      <c r="P121" s="27"/>
      <c r="Q121" s="28"/>
      <c r="R121" s="27"/>
      <c r="S121" s="27"/>
      <c r="T121" s="28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8"/>
      <c r="AS121" s="27"/>
      <c r="AT121" s="27"/>
      <c r="AU121" s="82"/>
      <c r="AV121" s="86"/>
      <c r="AW121" s="28"/>
      <c r="AX121" s="29"/>
      <c r="AY121" s="30"/>
      <c r="AZ121" s="30"/>
      <c r="BA121" s="30"/>
      <c r="BB121" s="30"/>
      <c r="BC121" s="30"/>
      <c r="BD121" s="108"/>
      <c r="BE121" s="109"/>
      <c r="BF121" s="27"/>
    </row>
    <row r="122" spans="1:58">
      <c r="A122" s="96"/>
      <c r="D122" s="27"/>
      <c r="E122" s="27"/>
      <c r="F122" s="27"/>
      <c r="G122" s="27"/>
      <c r="H122" s="27"/>
      <c r="I122" s="27"/>
      <c r="J122" s="28"/>
      <c r="K122" s="27"/>
      <c r="L122" s="27"/>
      <c r="M122" s="27"/>
      <c r="N122" s="28"/>
      <c r="O122" s="27"/>
      <c r="P122" s="27"/>
      <c r="Q122" s="28"/>
      <c r="R122" s="27"/>
      <c r="S122" s="27"/>
      <c r="T122" s="28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8"/>
      <c r="AS122" s="27"/>
      <c r="AT122" s="27"/>
      <c r="AU122" s="82"/>
      <c r="AV122" s="86"/>
      <c r="AW122" s="28"/>
      <c r="AX122" s="29"/>
      <c r="AY122" s="30"/>
      <c r="AZ122" s="30"/>
      <c r="BA122" s="30"/>
      <c r="BB122" s="30"/>
      <c r="BC122" s="30"/>
      <c r="BD122" s="108"/>
      <c r="BE122" s="109"/>
      <c r="BF122" s="27"/>
    </row>
    <row r="123" spans="1:58">
      <c r="A123" s="96"/>
      <c r="D123" s="27"/>
      <c r="E123" s="27"/>
      <c r="F123" s="27"/>
      <c r="G123" s="27"/>
      <c r="H123" s="27"/>
      <c r="I123" s="27"/>
      <c r="J123" s="28"/>
      <c r="K123" s="27"/>
      <c r="L123" s="27"/>
      <c r="M123" s="27"/>
      <c r="N123" s="28"/>
      <c r="O123" s="27"/>
      <c r="P123" s="27"/>
      <c r="Q123" s="28"/>
      <c r="R123" s="27"/>
      <c r="S123" s="27"/>
      <c r="T123" s="28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8"/>
      <c r="AS123" s="27"/>
      <c r="AT123" s="27"/>
      <c r="AU123" s="82"/>
      <c r="AV123" s="86"/>
      <c r="AW123" s="28"/>
      <c r="AX123" s="29"/>
      <c r="AY123" s="30"/>
      <c r="AZ123" s="30"/>
      <c r="BA123" s="30"/>
      <c r="BB123" s="30"/>
      <c r="BC123" s="30"/>
      <c r="BD123" s="108"/>
      <c r="BE123" s="109"/>
      <c r="BF123" s="27"/>
    </row>
    <row r="124" spans="1:58">
      <c r="A124" s="96"/>
      <c r="D124" s="27"/>
      <c r="E124" s="27"/>
      <c r="F124" s="27"/>
      <c r="G124" s="27"/>
      <c r="H124" s="27"/>
      <c r="I124" s="27"/>
      <c r="J124" s="28"/>
      <c r="K124" s="27"/>
      <c r="L124" s="27"/>
      <c r="M124" s="27"/>
      <c r="N124" s="28"/>
      <c r="O124" s="27"/>
      <c r="P124" s="27"/>
      <c r="Q124" s="28"/>
      <c r="R124" s="27"/>
      <c r="S124" s="27"/>
      <c r="T124" s="28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8"/>
      <c r="AS124" s="27"/>
      <c r="AT124" s="27"/>
      <c r="AU124" s="82"/>
      <c r="AV124" s="86"/>
      <c r="AW124" s="28"/>
      <c r="AX124" s="29"/>
      <c r="AY124" s="30"/>
      <c r="AZ124" s="30"/>
      <c r="BA124" s="30"/>
      <c r="BB124" s="30"/>
      <c r="BC124" s="30"/>
      <c r="BD124" s="108"/>
      <c r="BE124" s="109"/>
      <c r="BF124" s="27"/>
    </row>
    <row r="125" spans="1:58">
      <c r="A125" s="96"/>
      <c r="D125" s="27"/>
      <c r="E125" s="27"/>
      <c r="F125" s="27"/>
      <c r="G125" s="27"/>
      <c r="H125" s="27"/>
      <c r="I125" s="27"/>
      <c r="J125" s="28"/>
      <c r="K125" s="27"/>
      <c r="L125" s="27"/>
      <c r="M125" s="27"/>
      <c r="N125" s="28"/>
      <c r="O125" s="27"/>
      <c r="P125" s="27"/>
      <c r="Q125" s="28"/>
      <c r="R125" s="27"/>
      <c r="S125" s="27"/>
      <c r="T125" s="28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8"/>
      <c r="AS125" s="27"/>
      <c r="AT125" s="27"/>
      <c r="AU125" s="82"/>
      <c r="AV125" s="86"/>
      <c r="AW125" s="28"/>
      <c r="AX125" s="29"/>
      <c r="AY125" s="30"/>
      <c r="AZ125" s="30"/>
      <c r="BA125" s="30"/>
      <c r="BB125" s="30"/>
      <c r="BC125" s="30"/>
      <c r="BD125" s="108"/>
      <c r="BE125" s="109"/>
      <c r="BF125" s="27"/>
    </row>
    <row r="126" spans="1:58">
      <c r="A126" s="96"/>
      <c r="D126" s="27"/>
      <c r="E126" s="27"/>
      <c r="F126" s="27"/>
      <c r="G126" s="27"/>
      <c r="H126" s="27"/>
      <c r="I126" s="27"/>
      <c r="J126" s="28"/>
      <c r="K126" s="27"/>
      <c r="L126" s="27"/>
      <c r="M126" s="27"/>
      <c r="N126" s="28"/>
      <c r="O126" s="27"/>
      <c r="P126" s="27"/>
      <c r="Q126" s="28"/>
      <c r="R126" s="27"/>
      <c r="S126" s="27"/>
      <c r="T126" s="28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8"/>
      <c r="AS126" s="27"/>
      <c r="AT126" s="27"/>
      <c r="AU126" s="82"/>
      <c r="AV126" s="86"/>
      <c r="AW126" s="28"/>
      <c r="AX126" s="29"/>
      <c r="AY126" s="30"/>
      <c r="AZ126" s="30"/>
      <c r="BA126" s="30"/>
      <c r="BB126" s="30"/>
      <c r="BC126" s="30"/>
      <c r="BD126" s="108"/>
      <c r="BE126" s="109"/>
      <c r="BF126" s="27"/>
    </row>
    <row r="127" spans="1:58">
      <c r="A127" s="96"/>
      <c r="D127" s="27"/>
      <c r="E127" s="27"/>
      <c r="F127" s="27"/>
      <c r="G127" s="27"/>
      <c r="H127" s="27"/>
      <c r="I127" s="27"/>
      <c r="J127" s="28"/>
      <c r="K127" s="27"/>
      <c r="L127" s="27"/>
      <c r="M127" s="27"/>
      <c r="N127" s="28"/>
      <c r="O127" s="27"/>
      <c r="P127" s="27"/>
      <c r="Q127" s="28"/>
      <c r="R127" s="27"/>
      <c r="S127" s="27"/>
      <c r="T127" s="28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8"/>
      <c r="AS127" s="27"/>
      <c r="AT127" s="27"/>
      <c r="AU127" s="82"/>
      <c r="AV127" s="86"/>
      <c r="AW127" s="28"/>
      <c r="AX127" s="29"/>
      <c r="AY127" s="30"/>
      <c r="AZ127" s="30"/>
      <c r="BA127" s="30"/>
      <c r="BB127" s="30"/>
      <c r="BC127" s="30"/>
      <c r="BD127" s="108"/>
      <c r="BE127" s="109"/>
      <c r="BF127" s="27"/>
    </row>
    <row r="128" spans="1:58">
      <c r="A128" s="96"/>
      <c r="D128" s="27"/>
      <c r="E128" s="27"/>
      <c r="F128" s="27"/>
      <c r="G128" s="27"/>
      <c r="H128" s="27"/>
      <c r="I128" s="27"/>
      <c r="J128" s="28"/>
      <c r="K128" s="27"/>
      <c r="L128" s="27"/>
      <c r="M128" s="27"/>
      <c r="N128" s="28"/>
      <c r="O128" s="27"/>
      <c r="P128" s="27"/>
      <c r="Q128" s="28"/>
      <c r="R128" s="27"/>
      <c r="S128" s="27"/>
      <c r="T128" s="28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8"/>
      <c r="AS128" s="27"/>
      <c r="AT128" s="27"/>
      <c r="AU128" s="82"/>
      <c r="AV128" s="86"/>
      <c r="AW128" s="28"/>
      <c r="AX128" s="29"/>
      <c r="AY128" s="30"/>
      <c r="AZ128" s="30"/>
      <c r="BA128" s="30"/>
      <c r="BB128" s="30"/>
      <c r="BC128" s="30"/>
      <c r="BD128" s="108"/>
      <c r="BE128" s="109"/>
      <c r="BF128" s="27"/>
    </row>
    <row r="129" spans="1:58">
      <c r="A129" s="96"/>
      <c r="D129" s="27"/>
      <c r="E129" s="27"/>
      <c r="F129" s="27"/>
      <c r="G129" s="27"/>
      <c r="H129" s="27"/>
      <c r="I129" s="27"/>
      <c r="J129" s="28"/>
      <c r="K129" s="27"/>
      <c r="L129" s="27"/>
      <c r="M129" s="27"/>
      <c r="N129" s="28"/>
      <c r="O129" s="27"/>
      <c r="P129" s="27"/>
      <c r="Q129" s="28"/>
      <c r="R129" s="27"/>
      <c r="S129" s="27"/>
      <c r="T129" s="28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8"/>
      <c r="AS129" s="27"/>
      <c r="AT129" s="27"/>
      <c r="AU129" s="82"/>
      <c r="AV129" s="86"/>
      <c r="AW129" s="28"/>
      <c r="AX129" s="29"/>
      <c r="AY129" s="30"/>
      <c r="AZ129" s="30"/>
      <c r="BA129" s="30"/>
      <c r="BB129" s="30"/>
      <c r="BC129" s="30"/>
      <c r="BD129" s="108"/>
      <c r="BE129" s="109"/>
      <c r="BF129" s="27"/>
    </row>
    <row r="130" spans="1:58">
      <c r="A130" s="96"/>
      <c r="D130" s="27"/>
      <c r="E130" s="27"/>
      <c r="F130" s="27"/>
      <c r="G130" s="27"/>
      <c r="H130" s="27"/>
      <c r="I130" s="27"/>
      <c r="J130" s="28"/>
      <c r="K130" s="27"/>
      <c r="L130" s="27"/>
      <c r="M130" s="27"/>
      <c r="N130" s="28"/>
      <c r="O130" s="27"/>
      <c r="P130" s="27"/>
      <c r="Q130" s="28"/>
      <c r="R130" s="27"/>
      <c r="S130" s="27"/>
      <c r="T130" s="28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8"/>
      <c r="AS130" s="27"/>
      <c r="AT130" s="27"/>
      <c r="AU130" s="82"/>
      <c r="AV130" s="86"/>
      <c r="AW130" s="28"/>
      <c r="AX130" s="29"/>
      <c r="AY130" s="30"/>
      <c r="AZ130" s="30"/>
      <c r="BA130" s="30"/>
      <c r="BB130" s="30"/>
      <c r="BC130" s="30"/>
      <c r="BD130" s="108"/>
      <c r="BE130" s="109"/>
      <c r="BF130" s="27"/>
    </row>
    <row r="131" spans="1:58">
      <c r="A131" s="96"/>
      <c r="D131" s="27"/>
      <c r="E131" s="27"/>
      <c r="F131" s="27"/>
      <c r="G131" s="27"/>
      <c r="H131" s="27"/>
      <c r="I131" s="27"/>
      <c r="J131" s="28"/>
      <c r="K131" s="27"/>
      <c r="L131" s="27"/>
      <c r="M131" s="27"/>
      <c r="N131" s="28"/>
      <c r="O131" s="27"/>
      <c r="P131" s="27"/>
      <c r="Q131" s="28"/>
      <c r="R131" s="27"/>
      <c r="S131" s="27"/>
      <c r="T131" s="28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8"/>
      <c r="AS131" s="27"/>
      <c r="AT131" s="27"/>
      <c r="AU131" s="82"/>
      <c r="AV131" s="86"/>
      <c r="AW131" s="28"/>
      <c r="AX131" s="29"/>
      <c r="AY131" s="30"/>
      <c r="AZ131" s="30"/>
      <c r="BA131" s="30"/>
      <c r="BB131" s="30"/>
      <c r="BC131" s="30"/>
      <c r="BD131" s="108"/>
      <c r="BE131" s="109"/>
      <c r="BF131" s="27"/>
    </row>
    <row r="132" spans="1:58">
      <c r="A132" s="96"/>
      <c r="D132" s="27"/>
      <c r="E132" s="27"/>
      <c r="F132" s="27"/>
      <c r="G132" s="27"/>
      <c r="H132" s="27"/>
      <c r="I132" s="27"/>
      <c r="J132" s="28"/>
      <c r="K132" s="27"/>
      <c r="L132" s="27"/>
      <c r="M132" s="27"/>
      <c r="N132" s="28"/>
      <c r="O132" s="27"/>
      <c r="P132" s="27"/>
      <c r="Q132" s="28"/>
      <c r="R132" s="27"/>
      <c r="S132" s="27"/>
      <c r="T132" s="28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8"/>
      <c r="AS132" s="27"/>
      <c r="AT132" s="27"/>
      <c r="AU132" s="82"/>
      <c r="AV132" s="86"/>
      <c r="AW132" s="28"/>
      <c r="AX132" s="29"/>
      <c r="AY132" s="30"/>
      <c r="AZ132" s="30"/>
      <c r="BA132" s="30"/>
      <c r="BB132" s="30"/>
      <c r="BC132" s="30"/>
      <c r="BD132" s="108"/>
      <c r="BE132" s="109"/>
      <c r="BF132" s="27"/>
    </row>
    <row r="133" spans="1:58">
      <c r="A133" s="96"/>
      <c r="D133" s="27"/>
      <c r="E133" s="27"/>
      <c r="F133" s="27"/>
      <c r="G133" s="27"/>
      <c r="H133" s="27"/>
      <c r="I133" s="27"/>
      <c r="J133" s="28"/>
      <c r="K133" s="27"/>
      <c r="L133" s="27"/>
      <c r="M133" s="27"/>
      <c r="N133" s="28"/>
      <c r="O133" s="27"/>
      <c r="P133" s="27"/>
      <c r="Q133" s="28"/>
      <c r="R133" s="27"/>
      <c r="S133" s="27"/>
      <c r="T133" s="28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8"/>
      <c r="AS133" s="27"/>
      <c r="AT133" s="27"/>
      <c r="AU133" s="82"/>
      <c r="AV133" s="86"/>
      <c r="AW133" s="28"/>
      <c r="AX133" s="29"/>
      <c r="AY133" s="30"/>
      <c r="AZ133" s="30"/>
      <c r="BA133" s="30"/>
      <c r="BB133" s="30"/>
      <c r="BC133" s="30"/>
      <c r="BD133" s="108"/>
      <c r="BE133" s="109"/>
      <c r="BF133" s="27"/>
    </row>
    <row r="134" spans="1:58">
      <c r="A134" s="96"/>
      <c r="D134" s="27"/>
      <c r="E134" s="27"/>
      <c r="F134" s="27"/>
      <c r="G134" s="27"/>
      <c r="H134" s="27"/>
      <c r="I134" s="27"/>
      <c r="J134" s="28"/>
      <c r="K134" s="27"/>
      <c r="L134" s="27"/>
      <c r="M134" s="27"/>
      <c r="N134" s="28"/>
      <c r="O134" s="27"/>
      <c r="P134" s="27"/>
      <c r="Q134" s="28"/>
      <c r="R134" s="27"/>
      <c r="S134" s="27"/>
      <c r="T134" s="28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8"/>
      <c r="AS134" s="27"/>
      <c r="AT134" s="27"/>
      <c r="AU134" s="82"/>
      <c r="AV134" s="86"/>
      <c r="AW134" s="28"/>
      <c r="AX134" s="29"/>
      <c r="AY134" s="30"/>
      <c r="AZ134" s="30"/>
      <c r="BA134" s="30"/>
      <c r="BB134" s="30"/>
      <c r="BC134" s="30"/>
      <c r="BD134" s="108"/>
      <c r="BE134" s="109"/>
      <c r="BF134" s="27"/>
    </row>
    <row r="135" spans="1:58">
      <c r="A135" s="96"/>
      <c r="D135" s="27"/>
      <c r="E135" s="27"/>
      <c r="F135" s="27"/>
      <c r="G135" s="27"/>
      <c r="H135" s="27"/>
      <c r="I135" s="27"/>
      <c r="J135" s="28"/>
      <c r="K135" s="27"/>
      <c r="L135" s="27"/>
      <c r="M135" s="27"/>
      <c r="N135" s="28"/>
      <c r="O135" s="27"/>
      <c r="P135" s="27"/>
      <c r="Q135" s="28"/>
      <c r="R135" s="27"/>
      <c r="S135" s="27"/>
      <c r="T135" s="28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8"/>
      <c r="AS135" s="27"/>
      <c r="AT135" s="27"/>
      <c r="AU135" s="82"/>
      <c r="AV135" s="86"/>
      <c r="AW135" s="28"/>
      <c r="AX135" s="29"/>
      <c r="AY135" s="30"/>
      <c r="AZ135" s="30"/>
      <c r="BA135" s="30"/>
      <c r="BB135" s="30"/>
      <c r="BC135" s="30"/>
      <c r="BD135" s="108"/>
      <c r="BE135" s="109"/>
      <c r="BF135" s="27"/>
    </row>
    <row r="136" spans="1:58">
      <c r="A136" s="96"/>
      <c r="D136" s="27"/>
      <c r="E136" s="27"/>
      <c r="F136" s="27"/>
      <c r="G136" s="27"/>
      <c r="H136" s="27"/>
      <c r="I136" s="27"/>
      <c r="J136" s="28"/>
      <c r="K136" s="27"/>
      <c r="L136" s="27"/>
      <c r="M136" s="27"/>
      <c r="N136" s="28"/>
      <c r="O136" s="27"/>
      <c r="P136" s="27"/>
      <c r="Q136" s="28"/>
      <c r="R136" s="27"/>
      <c r="S136" s="27"/>
      <c r="T136" s="28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8"/>
      <c r="AS136" s="27"/>
      <c r="AT136" s="27"/>
      <c r="AU136" s="82"/>
      <c r="AV136" s="86"/>
      <c r="AW136" s="28"/>
      <c r="AX136" s="29"/>
      <c r="AY136" s="30"/>
      <c r="AZ136" s="30"/>
      <c r="BA136" s="30"/>
      <c r="BB136" s="30"/>
      <c r="BC136" s="30"/>
      <c r="BD136" s="108"/>
      <c r="BE136" s="109"/>
      <c r="BF136" s="27"/>
    </row>
    <row r="137" spans="1:58">
      <c r="A137" s="96"/>
      <c r="D137" s="27"/>
      <c r="E137" s="27"/>
      <c r="F137" s="27"/>
      <c r="G137" s="27"/>
      <c r="H137" s="27"/>
      <c r="I137" s="27"/>
      <c r="J137" s="28"/>
      <c r="K137" s="27"/>
      <c r="L137" s="27"/>
      <c r="M137" s="27"/>
      <c r="N137" s="28"/>
      <c r="O137" s="27"/>
      <c r="P137" s="27"/>
      <c r="Q137" s="28"/>
      <c r="R137" s="27"/>
      <c r="S137" s="27"/>
      <c r="T137" s="28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8"/>
      <c r="AS137" s="27"/>
      <c r="AT137" s="27"/>
      <c r="AU137" s="82"/>
      <c r="AV137" s="86"/>
      <c r="AW137" s="28"/>
      <c r="AX137" s="29"/>
      <c r="AY137" s="30"/>
      <c r="AZ137" s="30"/>
      <c r="BA137" s="30"/>
      <c r="BB137" s="30"/>
      <c r="BC137" s="30"/>
      <c r="BD137" s="108"/>
      <c r="BE137" s="109"/>
      <c r="BF137" s="27"/>
    </row>
    <row r="138" spans="1:58">
      <c r="A138" s="96"/>
      <c r="D138" s="27"/>
      <c r="E138" s="27"/>
      <c r="F138" s="27"/>
      <c r="G138" s="27"/>
      <c r="H138" s="27"/>
      <c r="I138" s="27"/>
      <c r="J138" s="28"/>
      <c r="K138" s="27"/>
      <c r="L138" s="27"/>
      <c r="M138" s="27"/>
      <c r="N138" s="28"/>
      <c r="O138" s="27"/>
      <c r="P138" s="27"/>
      <c r="Q138" s="28"/>
      <c r="R138" s="27"/>
      <c r="S138" s="27"/>
      <c r="T138" s="28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8"/>
      <c r="AS138" s="27"/>
      <c r="AT138" s="27"/>
      <c r="AU138" s="82"/>
      <c r="AV138" s="86"/>
      <c r="AW138" s="28"/>
      <c r="AX138" s="29"/>
      <c r="AY138" s="30"/>
      <c r="AZ138" s="30"/>
      <c r="BA138" s="30"/>
      <c r="BB138" s="30"/>
      <c r="BC138" s="30"/>
      <c r="BD138" s="108"/>
      <c r="BE138" s="109"/>
      <c r="BF138" s="27"/>
    </row>
    <row r="139" spans="1:58">
      <c r="A139" s="96"/>
      <c r="D139" s="27"/>
      <c r="E139" s="27"/>
      <c r="F139" s="27"/>
      <c r="G139" s="27"/>
      <c r="H139" s="27"/>
      <c r="I139" s="27"/>
      <c r="J139" s="28"/>
      <c r="K139" s="27"/>
      <c r="L139" s="27"/>
      <c r="M139" s="27"/>
      <c r="N139" s="28"/>
      <c r="O139" s="27"/>
      <c r="P139" s="27"/>
      <c r="Q139" s="28"/>
      <c r="R139" s="27"/>
      <c r="S139" s="27"/>
      <c r="T139" s="28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8"/>
      <c r="AS139" s="27"/>
      <c r="AT139" s="27"/>
      <c r="AU139" s="82"/>
      <c r="AV139" s="86"/>
      <c r="AW139" s="28"/>
      <c r="AX139" s="29"/>
      <c r="AY139" s="30"/>
      <c r="AZ139" s="30"/>
      <c r="BA139" s="30"/>
      <c r="BB139" s="30"/>
      <c r="BC139" s="30"/>
      <c r="BD139" s="108"/>
      <c r="BE139" s="109"/>
      <c r="BF139" s="27"/>
    </row>
    <row r="140" spans="1:58">
      <c r="A140" s="96"/>
      <c r="D140" s="27"/>
      <c r="E140" s="27"/>
      <c r="F140" s="27"/>
      <c r="G140" s="27"/>
      <c r="H140" s="27"/>
      <c r="I140" s="27"/>
      <c r="J140" s="28"/>
      <c r="K140" s="27"/>
      <c r="L140" s="27"/>
      <c r="M140" s="27"/>
      <c r="N140" s="28"/>
      <c r="O140" s="27"/>
      <c r="P140" s="27"/>
      <c r="Q140" s="28"/>
      <c r="R140" s="27"/>
      <c r="S140" s="27"/>
      <c r="T140" s="28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8"/>
      <c r="AS140" s="27"/>
      <c r="AT140" s="27"/>
      <c r="AU140" s="82"/>
      <c r="AV140" s="86"/>
      <c r="AW140" s="28"/>
      <c r="AX140" s="29"/>
      <c r="AY140" s="30"/>
      <c r="AZ140" s="30"/>
      <c r="BA140" s="30"/>
      <c r="BB140" s="30"/>
      <c r="BC140" s="30"/>
      <c r="BD140" s="108"/>
      <c r="BE140" s="109"/>
      <c r="BF140" s="27"/>
    </row>
    <row r="141" spans="1:58">
      <c r="A141" s="96"/>
      <c r="D141" s="27"/>
      <c r="E141" s="27"/>
      <c r="F141" s="27"/>
      <c r="G141" s="27"/>
      <c r="H141" s="27"/>
      <c r="I141" s="27"/>
      <c r="J141" s="28"/>
      <c r="K141" s="27"/>
      <c r="L141" s="27"/>
      <c r="M141" s="27"/>
      <c r="N141" s="28"/>
      <c r="O141" s="27"/>
      <c r="P141" s="27"/>
      <c r="Q141" s="28"/>
      <c r="R141" s="27"/>
      <c r="S141" s="27"/>
      <c r="T141" s="28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8"/>
      <c r="AS141" s="27"/>
      <c r="AT141" s="27"/>
      <c r="AU141" s="82"/>
      <c r="AV141" s="86"/>
      <c r="AW141" s="28"/>
      <c r="AX141" s="29"/>
      <c r="AY141" s="30"/>
      <c r="AZ141" s="30"/>
      <c r="BA141" s="30"/>
      <c r="BB141" s="30"/>
      <c r="BC141" s="30"/>
      <c r="BD141" s="108"/>
      <c r="BE141" s="109"/>
      <c r="BF141" s="27"/>
    </row>
    <row r="142" spans="1:58">
      <c r="A142" s="96"/>
      <c r="D142" s="27"/>
      <c r="E142" s="27"/>
      <c r="F142" s="27"/>
      <c r="G142" s="27"/>
      <c r="H142" s="27"/>
      <c r="I142" s="27"/>
      <c r="J142" s="28"/>
      <c r="K142" s="27"/>
      <c r="L142" s="27"/>
      <c r="M142" s="27"/>
      <c r="N142" s="28"/>
      <c r="O142" s="27"/>
      <c r="P142" s="27"/>
      <c r="Q142" s="28"/>
      <c r="R142" s="27"/>
      <c r="S142" s="27"/>
      <c r="T142" s="28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8"/>
      <c r="AS142" s="27"/>
      <c r="AT142" s="27"/>
      <c r="AU142" s="82"/>
      <c r="AV142" s="86"/>
      <c r="AW142" s="28"/>
      <c r="AX142" s="29"/>
      <c r="AY142" s="30"/>
      <c r="AZ142" s="30"/>
      <c r="BA142" s="30"/>
      <c r="BB142" s="30"/>
      <c r="BC142" s="30"/>
      <c r="BD142" s="108"/>
      <c r="BE142" s="109"/>
      <c r="BF142" s="27"/>
    </row>
    <row r="143" spans="1:58">
      <c r="A143" s="96"/>
      <c r="D143" s="27"/>
      <c r="E143" s="27"/>
      <c r="F143" s="27"/>
      <c r="G143" s="27"/>
      <c r="H143" s="27"/>
      <c r="I143" s="27"/>
      <c r="J143" s="28"/>
      <c r="K143" s="27"/>
      <c r="L143" s="27"/>
      <c r="M143" s="27"/>
      <c r="N143" s="28"/>
      <c r="O143" s="27"/>
      <c r="P143" s="27"/>
      <c r="Q143" s="28"/>
      <c r="R143" s="27"/>
      <c r="S143" s="27"/>
      <c r="T143" s="28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8"/>
      <c r="AS143" s="27"/>
      <c r="AT143" s="27"/>
      <c r="AU143" s="82"/>
      <c r="AV143" s="86"/>
      <c r="AW143" s="28"/>
      <c r="AX143" s="29"/>
      <c r="AY143" s="30"/>
      <c r="AZ143" s="30"/>
      <c r="BA143" s="30"/>
      <c r="BB143" s="30"/>
      <c r="BC143" s="30"/>
      <c r="BD143" s="108"/>
      <c r="BE143" s="109"/>
      <c r="BF143" s="27"/>
    </row>
    <row r="144" spans="1:58">
      <c r="A144" s="96"/>
      <c r="D144" s="27"/>
      <c r="E144" s="27"/>
      <c r="F144" s="27"/>
      <c r="G144" s="27"/>
      <c r="H144" s="27"/>
      <c r="I144" s="27"/>
      <c r="J144" s="28"/>
      <c r="K144" s="27"/>
      <c r="L144" s="27"/>
      <c r="M144" s="27"/>
      <c r="N144" s="28"/>
      <c r="O144" s="27"/>
      <c r="P144" s="27"/>
      <c r="Q144" s="28"/>
      <c r="R144" s="27"/>
      <c r="S144" s="27"/>
      <c r="T144" s="28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8"/>
      <c r="AS144" s="27"/>
      <c r="AT144" s="27"/>
      <c r="AU144" s="82"/>
      <c r="AV144" s="86"/>
      <c r="AW144" s="28"/>
      <c r="AX144" s="29"/>
      <c r="AY144" s="30"/>
      <c r="AZ144" s="30"/>
      <c r="BA144" s="30"/>
      <c r="BB144" s="30"/>
      <c r="BC144" s="30"/>
      <c r="BD144" s="108"/>
      <c r="BE144" s="109"/>
      <c r="BF144" s="27"/>
    </row>
    <row r="145" spans="1:58">
      <c r="A145" s="96"/>
      <c r="D145" s="27"/>
      <c r="E145" s="27"/>
      <c r="F145" s="27"/>
      <c r="G145" s="27"/>
      <c r="H145" s="27"/>
      <c r="I145" s="27"/>
      <c r="J145" s="28"/>
      <c r="K145" s="27"/>
      <c r="L145" s="27"/>
      <c r="M145" s="27"/>
      <c r="N145" s="28"/>
      <c r="O145" s="27"/>
      <c r="P145" s="27"/>
      <c r="Q145" s="28"/>
      <c r="R145" s="27"/>
      <c r="S145" s="27"/>
      <c r="T145" s="28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8"/>
      <c r="AS145" s="27"/>
      <c r="AT145" s="27"/>
      <c r="AU145" s="82"/>
      <c r="AV145" s="86"/>
      <c r="AW145" s="28"/>
      <c r="AX145" s="29"/>
      <c r="AY145" s="30"/>
      <c r="AZ145" s="30"/>
      <c r="BA145" s="30"/>
      <c r="BB145" s="30"/>
      <c r="BC145" s="30"/>
      <c r="BD145" s="108"/>
      <c r="BE145" s="109"/>
      <c r="BF145" s="27"/>
    </row>
    <row r="146" spans="1:58">
      <c r="A146" s="96"/>
      <c r="D146" s="27"/>
      <c r="E146" s="27"/>
      <c r="F146" s="27"/>
      <c r="G146" s="27"/>
      <c r="H146" s="27"/>
      <c r="I146" s="27"/>
      <c r="J146" s="28"/>
      <c r="K146" s="27"/>
      <c r="L146" s="27"/>
      <c r="M146" s="27"/>
      <c r="N146" s="28"/>
      <c r="O146" s="27"/>
      <c r="P146" s="27"/>
      <c r="Q146" s="28"/>
      <c r="R146" s="27"/>
      <c r="S146" s="27"/>
      <c r="T146" s="28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8"/>
      <c r="AS146" s="27"/>
      <c r="AT146" s="27"/>
      <c r="AU146" s="82"/>
      <c r="AV146" s="86"/>
      <c r="AW146" s="28"/>
      <c r="AX146" s="29"/>
      <c r="AY146" s="30"/>
      <c r="AZ146" s="30"/>
      <c r="BA146" s="30"/>
      <c r="BB146" s="30"/>
      <c r="BC146" s="30"/>
      <c r="BD146" s="108"/>
      <c r="BE146" s="109"/>
      <c r="BF146" s="27"/>
    </row>
    <row r="147" spans="1:58">
      <c r="A147" s="96"/>
      <c r="D147" s="27"/>
      <c r="E147" s="27"/>
      <c r="F147" s="27"/>
      <c r="G147" s="27"/>
      <c r="H147" s="27"/>
      <c r="I147" s="27"/>
      <c r="J147" s="28"/>
      <c r="K147" s="27"/>
      <c r="L147" s="27"/>
      <c r="M147" s="27"/>
      <c r="N147" s="28"/>
      <c r="O147" s="27"/>
      <c r="P147" s="27"/>
      <c r="Q147" s="28"/>
      <c r="R147" s="27"/>
      <c r="S147" s="27"/>
      <c r="T147" s="28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8"/>
      <c r="AS147" s="27"/>
      <c r="AT147" s="27"/>
      <c r="AU147" s="82"/>
      <c r="AV147" s="86"/>
      <c r="AW147" s="28"/>
      <c r="AX147" s="29"/>
      <c r="AY147" s="30"/>
      <c r="AZ147" s="30"/>
      <c r="BA147" s="30"/>
      <c r="BB147" s="30"/>
      <c r="BC147" s="30"/>
      <c r="BD147" s="108"/>
      <c r="BE147" s="109"/>
      <c r="BF147" s="27"/>
    </row>
    <row r="148" spans="1:58">
      <c r="A148" s="96"/>
      <c r="D148" s="27"/>
      <c r="E148" s="27"/>
      <c r="F148" s="27"/>
      <c r="G148" s="27"/>
      <c r="H148" s="27"/>
      <c r="I148" s="27"/>
      <c r="J148" s="28"/>
      <c r="K148" s="27"/>
      <c r="L148" s="27"/>
      <c r="M148" s="27"/>
      <c r="N148" s="28"/>
      <c r="O148" s="27"/>
      <c r="P148" s="27"/>
      <c r="Q148" s="28"/>
      <c r="R148" s="27"/>
      <c r="S148" s="27"/>
      <c r="T148" s="28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8"/>
      <c r="AS148" s="27"/>
      <c r="AT148" s="27"/>
      <c r="AU148" s="82"/>
      <c r="AV148" s="86"/>
      <c r="AW148" s="28"/>
      <c r="AX148" s="29"/>
      <c r="AY148" s="30"/>
      <c r="AZ148" s="30"/>
      <c r="BA148" s="30"/>
      <c r="BB148" s="30"/>
      <c r="BC148" s="30"/>
      <c r="BD148" s="108"/>
      <c r="BE148" s="109"/>
      <c r="BF148" s="27"/>
    </row>
    <row r="149" spans="1:58">
      <c r="A149" s="96"/>
      <c r="D149" s="27"/>
      <c r="E149" s="27"/>
      <c r="F149" s="27"/>
      <c r="G149" s="27"/>
      <c r="H149" s="27"/>
      <c r="I149" s="27"/>
      <c r="J149" s="28"/>
      <c r="K149" s="27"/>
      <c r="L149" s="27"/>
      <c r="M149" s="27"/>
      <c r="N149" s="28"/>
      <c r="O149" s="27"/>
      <c r="P149" s="27"/>
      <c r="Q149" s="28"/>
      <c r="R149" s="27"/>
      <c r="S149" s="27"/>
      <c r="T149" s="28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8"/>
      <c r="AS149" s="27"/>
      <c r="AT149" s="27"/>
      <c r="AU149" s="82"/>
      <c r="AV149" s="86"/>
      <c r="AW149" s="28"/>
      <c r="AX149" s="29"/>
      <c r="AY149" s="30"/>
      <c r="AZ149" s="30"/>
      <c r="BA149" s="30"/>
      <c r="BB149" s="30"/>
      <c r="BC149" s="30"/>
      <c r="BD149" s="108"/>
      <c r="BE149" s="109"/>
      <c r="BF149" s="27"/>
    </row>
    <row r="150" spans="1:58">
      <c r="A150" s="96"/>
      <c r="D150" s="27"/>
      <c r="E150" s="27"/>
      <c r="F150" s="27"/>
      <c r="G150" s="27"/>
      <c r="H150" s="27"/>
      <c r="I150" s="27"/>
      <c r="J150" s="28"/>
      <c r="K150" s="27"/>
      <c r="L150" s="27"/>
      <c r="M150" s="27"/>
      <c r="N150" s="28"/>
      <c r="O150" s="27"/>
      <c r="P150" s="27"/>
      <c r="Q150" s="28"/>
      <c r="R150" s="27"/>
      <c r="S150" s="27"/>
      <c r="T150" s="28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8"/>
      <c r="AS150" s="27"/>
      <c r="AT150" s="27"/>
      <c r="AU150" s="82"/>
      <c r="AV150" s="86"/>
      <c r="AW150" s="28"/>
      <c r="AX150" s="29"/>
      <c r="AY150" s="30"/>
      <c r="AZ150" s="30"/>
      <c r="BA150" s="30"/>
      <c r="BB150" s="30"/>
      <c r="BC150" s="30"/>
      <c r="BD150" s="108"/>
      <c r="BE150" s="109"/>
      <c r="BF150" s="27"/>
    </row>
    <row r="151" spans="1:58">
      <c r="A151" s="96"/>
      <c r="D151" s="27"/>
      <c r="E151" s="27"/>
      <c r="F151" s="27"/>
      <c r="G151" s="27"/>
      <c r="H151" s="27"/>
      <c r="I151" s="27"/>
      <c r="J151" s="28"/>
      <c r="K151" s="27"/>
      <c r="L151" s="27"/>
      <c r="M151" s="27"/>
      <c r="N151" s="28"/>
      <c r="O151" s="27"/>
      <c r="P151" s="27"/>
      <c r="Q151" s="28"/>
      <c r="R151" s="27"/>
      <c r="S151" s="27"/>
      <c r="T151" s="28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8"/>
      <c r="AS151" s="27"/>
      <c r="AT151" s="27"/>
      <c r="AU151" s="82"/>
      <c r="AV151" s="86"/>
      <c r="AW151" s="28"/>
      <c r="AX151" s="29"/>
      <c r="AY151" s="30"/>
      <c r="AZ151" s="30"/>
      <c r="BA151" s="30"/>
      <c r="BB151" s="30"/>
      <c r="BC151" s="30"/>
      <c r="BD151" s="108"/>
      <c r="BE151" s="109"/>
      <c r="BF151" s="27"/>
    </row>
    <row r="152" spans="1:58">
      <c r="A152" s="96"/>
      <c r="D152" s="27"/>
      <c r="E152" s="27"/>
      <c r="F152" s="27"/>
      <c r="G152" s="27"/>
      <c r="H152" s="27"/>
      <c r="I152" s="27"/>
      <c r="J152" s="28"/>
      <c r="K152" s="27"/>
      <c r="L152" s="27"/>
      <c r="M152" s="27"/>
      <c r="N152" s="28"/>
      <c r="O152" s="27"/>
      <c r="P152" s="27"/>
      <c r="Q152" s="28"/>
      <c r="R152" s="27"/>
      <c r="S152" s="27"/>
      <c r="T152" s="28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8"/>
      <c r="AS152" s="27"/>
      <c r="AT152" s="27"/>
      <c r="AU152" s="82"/>
      <c r="AV152" s="86"/>
      <c r="AW152" s="28"/>
      <c r="AX152" s="29"/>
      <c r="AY152" s="30"/>
      <c r="AZ152" s="30"/>
      <c r="BA152" s="30"/>
      <c r="BB152" s="30"/>
      <c r="BC152" s="30"/>
      <c r="BD152" s="108"/>
      <c r="BE152" s="109"/>
      <c r="BF152" s="27"/>
    </row>
    <row r="153" spans="1:58">
      <c r="A153" s="96"/>
      <c r="D153" s="27"/>
      <c r="E153" s="27"/>
      <c r="F153" s="27"/>
      <c r="G153" s="27"/>
      <c r="H153" s="27"/>
      <c r="I153" s="27"/>
      <c r="J153" s="28"/>
      <c r="K153" s="27"/>
      <c r="L153" s="27"/>
      <c r="M153" s="27"/>
      <c r="N153" s="28"/>
      <c r="O153" s="27"/>
      <c r="P153" s="27"/>
      <c r="Q153" s="28"/>
      <c r="R153" s="27"/>
      <c r="S153" s="27"/>
      <c r="T153" s="28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8"/>
      <c r="AS153" s="27"/>
      <c r="AT153" s="27"/>
      <c r="AU153" s="82"/>
      <c r="AV153" s="86"/>
      <c r="AW153" s="28"/>
      <c r="AX153" s="29"/>
      <c r="AY153" s="30"/>
      <c r="AZ153" s="30"/>
      <c r="BA153" s="30"/>
      <c r="BB153" s="30"/>
      <c r="BC153" s="30"/>
      <c r="BD153" s="108"/>
      <c r="BE153" s="109"/>
      <c r="BF153" s="27"/>
    </row>
    <row r="154" spans="1:58">
      <c r="A154" s="96"/>
      <c r="D154" s="27"/>
      <c r="E154" s="27"/>
      <c r="F154" s="27"/>
      <c r="G154" s="27"/>
      <c r="H154" s="27"/>
      <c r="I154" s="27"/>
      <c r="J154" s="28"/>
      <c r="K154" s="27"/>
      <c r="L154" s="27"/>
      <c r="M154" s="27"/>
      <c r="N154" s="28"/>
      <c r="O154" s="27"/>
      <c r="P154" s="27"/>
      <c r="Q154" s="28"/>
      <c r="R154" s="27"/>
      <c r="S154" s="27"/>
      <c r="T154" s="28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8"/>
      <c r="AS154" s="27"/>
      <c r="AT154" s="27"/>
      <c r="AU154" s="82"/>
      <c r="AV154" s="86"/>
      <c r="AW154" s="28"/>
      <c r="AX154" s="29"/>
      <c r="AY154" s="30"/>
      <c r="AZ154" s="30"/>
      <c r="BA154" s="30"/>
      <c r="BB154" s="30"/>
      <c r="BC154" s="30"/>
      <c r="BD154" s="108"/>
      <c r="BE154" s="109"/>
      <c r="BF154" s="27"/>
    </row>
    <row r="155" spans="1:58">
      <c r="A155" s="96"/>
      <c r="D155" s="27"/>
      <c r="E155" s="27"/>
      <c r="F155" s="27"/>
      <c r="G155" s="27"/>
      <c r="H155" s="27"/>
      <c r="I155" s="27"/>
      <c r="J155" s="28"/>
      <c r="K155" s="27"/>
      <c r="L155" s="27"/>
      <c r="M155" s="27"/>
      <c r="N155" s="28"/>
      <c r="O155" s="27"/>
      <c r="P155" s="27"/>
      <c r="Q155" s="28"/>
      <c r="R155" s="27"/>
      <c r="S155" s="27"/>
      <c r="T155" s="28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8"/>
      <c r="AS155" s="27"/>
      <c r="AT155" s="27"/>
      <c r="AU155" s="82"/>
      <c r="AV155" s="86"/>
      <c r="AW155" s="28"/>
      <c r="AX155" s="29"/>
      <c r="AY155" s="30"/>
      <c r="AZ155" s="30"/>
      <c r="BA155" s="30"/>
      <c r="BB155" s="30"/>
      <c r="BC155" s="30"/>
      <c r="BD155" s="108"/>
      <c r="BE155" s="109"/>
      <c r="BF155" s="27"/>
    </row>
    <row r="156" spans="1:58">
      <c r="A156" s="96"/>
      <c r="D156" s="27"/>
      <c r="E156" s="27"/>
      <c r="F156" s="27"/>
      <c r="G156" s="27"/>
      <c r="H156" s="27"/>
      <c r="I156" s="27"/>
      <c r="J156" s="28"/>
      <c r="K156" s="27"/>
      <c r="L156" s="27"/>
      <c r="M156" s="27"/>
      <c r="N156" s="28"/>
      <c r="O156" s="27"/>
      <c r="P156" s="27"/>
      <c r="Q156" s="28"/>
      <c r="R156" s="27"/>
      <c r="S156" s="27"/>
      <c r="T156" s="28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8"/>
      <c r="AS156" s="27"/>
      <c r="AT156" s="27"/>
      <c r="AU156" s="82"/>
      <c r="AV156" s="86"/>
      <c r="AW156" s="28"/>
      <c r="AX156" s="29"/>
      <c r="AY156" s="30"/>
      <c r="AZ156" s="30"/>
      <c r="BA156" s="30"/>
      <c r="BB156" s="30"/>
      <c r="BC156" s="30"/>
      <c r="BD156" s="108"/>
      <c r="BE156" s="109"/>
      <c r="BF156" s="27"/>
    </row>
    <row r="157" spans="1:58">
      <c r="A157" s="96"/>
      <c r="D157" s="27"/>
      <c r="E157" s="27"/>
      <c r="F157" s="27"/>
      <c r="G157" s="27"/>
      <c r="H157" s="27"/>
      <c r="I157" s="27"/>
      <c r="J157" s="28"/>
      <c r="K157" s="27"/>
      <c r="L157" s="27"/>
      <c r="M157" s="27"/>
      <c r="N157" s="28"/>
      <c r="O157" s="27"/>
      <c r="P157" s="27"/>
      <c r="Q157" s="28"/>
      <c r="R157" s="27"/>
      <c r="S157" s="27"/>
      <c r="T157" s="28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8"/>
      <c r="AS157" s="27"/>
      <c r="AT157" s="27"/>
      <c r="AU157" s="82"/>
      <c r="AV157" s="86"/>
      <c r="AW157" s="28"/>
      <c r="AX157" s="29"/>
      <c r="AY157" s="30"/>
      <c r="AZ157" s="30"/>
      <c r="BA157" s="30"/>
      <c r="BB157" s="30"/>
      <c r="BC157" s="30"/>
      <c r="BD157" s="108"/>
      <c r="BE157" s="109"/>
      <c r="BF157" s="27"/>
    </row>
    <row r="158" spans="1:58">
      <c r="A158" s="96"/>
      <c r="D158" s="27"/>
      <c r="E158" s="27"/>
      <c r="F158" s="27"/>
      <c r="G158" s="27"/>
      <c r="H158" s="27"/>
      <c r="I158" s="27"/>
      <c r="J158" s="28"/>
      <c r="K158" s="27"/>
      <c r="L158" s="27"/>
      <c r="M158" s="27"/>
      <c r="N158" s="28"/>
      <c r="O158" s="27"/>
      <c r="P158" s="27"/>
      <c r="Q158" s="28"/>
      <c r="R158" s="27"/>
      <c r="S158" s="27"/>
      <c r="T158" s="28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8"/>
      <c r="AS158" s="27"/>
      <c r="AT158" s="27"/>
      <c r="AU158" s="82"/>
      <c r="AV158" s="86"/>
      <c r="AW158" s="28"/>
      <c r="AX158" s="29"/>
      <c r="AY158" s="30"/>
      <c r="AZ158" s="30"/>
      <c r="BA158" s="30"/>
      <c r="BB158" s="30"/>
      <c r="BC158" s="30"/>
      <c r="BD158" s="108"/>
      <c r="BE158" s="109"/>
      <c r="BF158" s="27"/>
    </row>
    <row r="159" spans="1:58">
      <c r="A159" s="96"/>
      <c r="D159" s="27"/>
      <c r="E159" s="27"/>
      <c r="F159" s="27"/>
      <c r="G159" s="27"/>
      <c r="H159" s="27"/>
      <c r="I159" s="27"/>
      <c r="J159" s="28"/>
      <c r="K159" s="27"/>
      <c r="L159" s="27"/>
      <c r="M159" s="27"/>
      <c r="N159" s="28"/>
      <c r="O159" s="27"/>
      <c r="P159" s="27"/>
      <c r="Q159" s="28"/>
      <c r="R159" s="27"/>
      <c r="S159" s="27"/>
      <c r="T159" s="28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8"/>
      <c r="AS159" s="27"/>
      <c r="AT159" s="27"/>
      <c r="AU159" s="82"/>
      <c r="AV159" s="86"/>
      <c r="AW159" s="28"/>
      <c r="AX159" s="29"/>
      <c r="AY159" s="30"/>
      <c r="AZ159" s="30"/>
      <c r="BA159" s="30"/>
      <c r="BB159" s="30"/>
      <c r="BC159" s="30"/>
      <c r="BD159" s="108"/>
      <c r="BE159" s="109"/>
      <c r="BF159" s="27"/>
    </row>
    <row r="160" spans="1:58">
      <c r="A160" s="96"/>
      <c r="D160" s="27"/>
      <c r="E160" s="27"/>
      <c r="F160" s="27"/>
      <c r="G160" s="27"/>
      <c r="H160" s="27"/>
      <c r="I160" s="27"/>
      <c r="J160" s="28"/>
      <c r="K160" s="27"/>
      <c r="L160" s="27"/>
      <c r="M160" s="27"/>
      <c r="N160" s="28"/>
      <c r="O160" s="27"/>
      <c r="P160" s="27"/>
      <c r="Q160" s="28"/>
      <c r="R160" s="27"/>
      <c r="S160" s="27"/>
      <c r="T160" s="28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8"/>
      <c r="AS160" s="27"/>
      <c r="AT160" s="27"/>
      <c r="AU160" s="82"/>
      <c r="AV160" s="86"/>
      <c r="AW160" s="28"/>
      <c r="AX160" s="29"/>
      <c r="AY160" s="30"/>
      <c r="AZ160" s="30"/>
      <c r="BA160" s="30"/>
      <c r="BB160" s="30"/>
      <c r="BC160" s="30"/>
      <c r="BD160" s="108"/>
      <c r="BE160" s="109"/>
      <c r="BF160" s="27"/>
    </row>
    <row r="161" spans="1:58">
      <c r="A161" s="96"/>
      <c r="D161" s="27"/>
      <c r="E161" s="27"/>
      <c r="F161" s="27"/>
      <c r="G161" s="27"/>
      <c r="H161" s="27"/>
      <c r="I161" s="27"/>
      <c r="J161" s="28"/>
      <c r="K161" s="27"/>
      <c r="L161" s="27"/>
      <c r="M161" s="27"/>
      <c r="N161" s="28"/>
      <c r="O161" s="27"/>
      <c r="P161" s="27"/>
      <c r="Q161" s="28"/>
      <c r="R161" s="27"/>
      <c r="S161" s="27"/>
      <c r="T161" s="28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8"/>
      <c r="AS161" s="27"/>
      <c r="AT161" s="27"/>
      <c r="AU161" s="82"/>
      <c r="AV161" s="86"/>
      <c r="AW161" s="28"/>
      <c r="AX161" s="29"/>
      <c r="AY161" s="30"/>
      <c r="AZ161" s="30"/>
      <c r="BA161" s="30"/>
      <c r="BB161" s="30"/>
      <c r="BC161" s="30"/>
      <c r="BD161" s="108"/>
      <c r="BE161" s="109"/>
      <c r="BF161" s="27"/>
    </row>
    <row r="162" spans="1:58">
      <c r="A162" s="96"/>
      <c r="D162" s="27"/>
      <c r="E162" s="27"/>
      <c r="F162" s="27"/>
      <c r="G162" s="27"/>
      <c r="H162" s="27"/>
      <c r="I162" s="27"/>
      <c r="J162" s="28"/>
      <c r="K162" s="27"/>
      <c r="L162" s="27"/>
      <c r="M162" s="27"/>
      <c r="N162" s="28"/>
      <c r="O162" s="27"/>
      <c r="P162" s="27"/>
      <c r="Q162" s="28"/>
      <c r="R162" s="27"/>
      <c r="S162" s="27"/>
      <c r="T162" s="28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8"/>
      <c r="AS162" s="27"/>
      <c r="AT162" s="27"/>
      <c r="AU162" s="82"/>
      <c r="AV162" s="86"/>
      <c r="AW162" s="28"/>
      <c r="AX162" s="29"/>
      <c r="AY162" s="30"/>
      <c r="AZ162" s="30"/>
      <c r="BA162" s="30"/>
      <c r="BB162" s="30"/>
      <c r="BC162" s="30"/>
      <c r="BD162" s="108"/>
      <c r="BE162" s="109"/>
      <c r="BF162" s="27"/>
    </row>
    <row r="163" spans="1:58">
      <c r="A163" s="96"/>
      <c r="D163" s="27"/>
      <c r="E163" s="27"/>
      <c r="F163" s="27"/>
      <c r="G163" s="27"/>
      <c r="H163" s="27"/>
      <c r="I163" s="27"/>
      <c r="J163" s="28"/>
      <c r="K163" s="27"/>
      <c r="L163" s="27"/>
      <c r="M163" s="27"/>
      <c r="N163" s="28"/>
      <c r="O163" s="27"/>
      <c r="P163" s="27"/>
      <c r="Q163" s="28"/>
      <c r="R163" s="27"/>
      <c r="S163" s="27"/>
      <c r="T163" s="28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8"/>
      <c r="AS163" s="27"/>
      <c r="AT163" s="27"/>
      <c r="AU163" s="82"/>
      <c r="AV163" s="86"/>
      <c r="AW163" s="28"/>
      <c r="AX163" s="29"/>
      <c r="AY163" s="30"/>
      <c r="AZ163" s="30"/>
      <c r="BA163" s="30"/>
      <c r="BB163" s="30"/>
      <c r="BC163" s="30"/>
      <c r="BD163" s="108"/>
      <c r="BE163" s="109"/>
      <c r="BF163" s="27"/>
    </row>
    <row r="164" spans="1:58">
      <c r="A164" s="96"/>
      <c r="D164" s="27"/>
      <c r="E164" s="27"/>
      <c r="F164" s="27"/>
      <c r="G164" s="27"/>
      <c r="H164" s="27"/>
      <c r="I164" s="27"/>
      <c r="J164" s="28"/>
      <c r="K164" s="27"/>
      <c r="L164" s="27"/>
      <c r="M164" s="27"/>
      <c r="N164" s="28"/>
      <c r="O164" s="27"/>
      <c r="P164" s="27"/>
      <c r="Q164" s="28"/>
      <c r="R164" s="27"/>
      <c r="S164" s="27"/>
      <c r="T164" s="28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8"/>
      <c r="AS164" s="27"/>
      <c r="AT164" s="27"/>
      <c r="AU164" s="82"/>
      <c r="AV164" s="86"/>
      <c r="AW164" s="28"/>
      <c r="AX164" s="29"/>
      <c r="AY164" s="30"/>
      <c r="AZ164" s="30"/>
      <c r="BA164" s="30"/>
      <c r="BB164" s="30"/>
      <c r="BC164" s="30"/>
      <c r="BD164" s="108"/>
      <c r="BE164" s="109"/>
      <c r="BF164" s="27"/>
    </row>
    <row r="165" spans="1:58">
      <c r="A165" s="96"/>
      <c r="D165" s="27"/>
      <c r="E165" s="27"/>
      <c r="F165" s="27"/>
      <c r="G165" s="27"/>
      <c r="H165" s="27"/>
      <c r="I165" s="27"/>
      <c r="J165" s="28"/>
      <c r="K165" s="27"/>
      <c r="L165" s="27"/>
      <c r="M165" s="27"/>
      <c r="N165" s="28"/>
      <c r="O165" s="27"/>
      <c r="P165" s="27"/>
      <c r="Q165" s="28"/>
      <c r="R165" s="27"/>
      <c r="S165" s="27"/>
      <c r="T165" s="28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8"/>
      <c r="AS165" s="27"/>
      <c r="AT165" s="27"/>
      <c r="AU165" s="82"/>
      <c r="AV165" s="86"/>
      <c r="AW165" s="28"/>
      <c r="AX165" s="29"/>
      <c r="AY165" s="30"/>
      <c r="AZ165" s="30"/>
      <c r="BA165" s="30"/>
      <c r="BB165" s="30"/>
      <c r="BC165" s="30"/>
      <c r="BD165" s="108"/>
      <c r="BE165" s="109"/>
      <c r="BF165" s="27"/>
    </row>
    <row r="166" spans="1:58">
      <c r="A166" s="96"/>
      <c r="D166" s="27"/>
      <c r="E166" s="27"/>
      <c r="F166" s="27"/>
      <c r="G166" s="27"/>
      <c r="H166" s="27"/>
      <c r="I166" s="27"/>
      <c r="J166" s="28"/>
      <c r="K166" s="27"/>
      <c r="L166" s="27"/>
      <c r="M166" s="27"/>
      <c r="N166" s="28"/>
      <c r="O166" s="27"/>
      <c r="P166" s="27"/>
      <c r="Q166" s="28"/>
      <c r="R166" s="27"/>
      <c r="S166" s="27"/>
      <c r="T166" s="28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8"/>
      <c r="AS166" s="27"/>
      <c r="AT166" s="27"/>
      <c r="AU166" s="82"/>
      <c r="AV166" s="86"/>
      <c r="AW166" s="28"/>
      <c r="AX166" s="29"/>
      <c r="AY166" s="30"/>
      <c r="AZ166" s="30"/>
      <c r="BA166" s="30"/>
      <c r="BB166" s="30"/>
      <c r="BC166" s="30"/>
      <c r="BD166" s="108"/>
      <c r="BE166" s="109"/>
      <c r="BF166" s="27"/>
    </row>
    <row r="167" spans="1:58">
      <c r="A167" s="96"/>
      <c r="D167" s="27"/>
      <c r="E167" s="27"/>
      <c r="F167" s="27"/>
      <c r="G167" s="27"/>
      <c r="H167" s="27"/>
      <c r="I167" s="27"/>
      <c r="J167" s="28"/>
      <c r="K167" s="27"/>
      <c r="L167" s="27"/>
      <c r="M167" s="27"/>
      <c r="N167" s="28"/>
      <c r="O167" s="27"/>
      <c r="P167" s="27"/>
      <c r="Q167" s="28"/>
      <c r="R167" s="27"/>
      <c r="S167" s="27"/>
      <c r="T167" s="28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8"/>
      <c r="AS167" s="27"/>
      <c r="AT167" s="27"/>
      <c r="AU167" s="82"/>
      <c r="AV167" s="86"/>
      <c r="AW167" s="28"/>
      <c r="AX167" s="29"/>
      <c r="AY167" s="30"/>
      <c r="AZ167" s="30"/>
      <c r="BA167" s="30"/>
      <c r="BB167" s="30"/>
      <c r="BC167" s="30"/>
      <c r="BD167" s="108"/>
      <c r="BE167" s="109"/>
      <c r="BF167" s="27"/>
    </row>
    <row r="168" spans="1:58">
      <c r="A168" s="96"/>
      <c r="D168" s="27"/>
      <c r="E168" s="27"/>
      <c r="F168" s="27"/>
      <c r="G168" s="27"/>
      <c r="H168" s="27"/>
      <c r="I168" s="27"/>
      <c r="J168" s="28"/>
      <c r="K168" s="27"/>
      <c r="L168" s="27"/>
      <c r="M168" s="27"/>
      <c r="N168" s="28"/>
      <c r="O168" s="27"/>
      <c r="P168" s="27"/>
      <c r="Q168" s="28"/>
      <c r="R168" s="27"/>
      <c r="S168" s="27"/>
      <c r="T168" s="28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8"/>
      <c r="AS168" s="27"/>
      <c r="AT168" s="27"/>
      <c r="AU168" s="82"/>
      <c r="AV168" s="86"/>
      <c r="AW168" s="28"/>
      <c r="AX168" s="29"/>
      <c r="AY168" s="30"/>
      <c r="AZ168" s="30"/>
      <c r="BA168" s="30"/>
      <c r="BB168" s="30"/>
      <c r="BC168" s="30"/>
      <c r="BD168" s="108"/>
      <c r="BE168" s="109"/>
      <c r="BF168" s="27"/>
    </row>
    <row r="169" spans="1:58">
      <c r="A169" s="96"/>
      <c r="D169" s="27"/>
      <c r="E169" s="27"/>
      <c r="F169" s="27"/>
      <c r="G169" s="27"/>
      <c r="H169" s="27"/>
      <c r="I169" s="27"/>
      <c r="J169" s="28"/>
      <c r="K169" s="27"/>
      <c r="L169" s="27"/>
      <c r="M169" s="27"/>
      <c r="N169" s="28"/>
      <c r="O169" s="27"/>
      <c r="P169" s="27"/>
      <c r="Q169" s="28"/>
      <c r="R169" s="27"/>
      <c r="S169" s="27"/>
      <c r="T169" s="28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8"/>
      <c r="AS169" s="27"/>
      <c r="AT169" s="27"/>
      <c r="AU169" s="82"/>
      <c r="AV169" s="86"/>
      <c r="AW169" s="28"/>
      <c r="AX169" s="29"/>
      <c r="AY169" s="30"/>
      <c r="AZ169" s="30"/>
      <c r="BA169" s="30"/>
      <c r="BB169" s="30"/>
      <c r="BC169" s="30"/>
      <c r="BD169" s="108"/>
      <c r="BE169" s="109"/>
      <c r="BF169" s="27"/>
    </row>
    <row r="170" spans="1:58">
      <c r="A170" s="96"/>
      <c r="D170" s="27"/>
      <c r="E170" s="27"/>
      <c r="F170" s="27"/>
      <c r="G170" s="27"/>
      <c r="H170" s="27"/>
      <c r="I170" s="27"/>
      <c r="J170" s="28"/>
      <c r="K170" s="27"/>
      <c r="L170" s="27"/>
      <c r="M170" s="27"/>
      <c r="N170" s="28"/>
      <c r="O170" s="27"/>
      <c r="P170" s="27"/>
      <c r="Q170" s="28"/>
      <c r="R170" s="27"/>
      <c r="S170" s="27"/>
      <c r="T170" s="28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8"/>
      <c r="AS170" s="27"/>
      <c r="AT170" s="27"/>
      <c r="AU170" s="82"/>
      <c r="AV170" s="86"/>
      <c r="AW170" s="28"/>
      <c r="AX170" s="29"/>
      <c r="AY170" s="30"/>
      <c r="AZ170" s="30"/>
      <c r="BA170" s="30"/>
      <c r="BB170" s="30"/>
      <c r="BC170" s="30"/>
      <c r="BD170" s="108"/>
      <c r="BE170" s="109"/>
      <c r="BF170" s="27"/>
    </row>
    <row r="171" spans="1:58">
      <c r="A171" s="96"/>
      <c r="D171" s="27"/>
      <c r="E171" s="27"/>
      <c r="F171" s="27"/>
      <c r="G171" s="27"/>
      <c r="H171" s="27"/>
      <c r="I171" s="27"/>
      <c r="J171" s="28"/>
      <c r="K171" s="27"/>
      <c r="L171" s="27"/>
      <c r="M171" s="27"/>
      <c r="N171" s="28"/>
      <c r="O171" s="27"/>
      <c r="P171" s="27"/>
      <c r="Q171" s="28"/>
      <c r="R171" s="27"/>
      <c r="S171" s="27"/>
      <c r="T171" s="28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8"/>
      <c r="AS171" s="27"/>
      <c r="AT171" s="27"/>
      <c r="AU171" s="82"/>
      <c r="AV171" s="86"/>
      <c r="AW171" s="28"/>
      <c r="AX171" s="29"/>
      <c r="AY171" s="30"/>
      <c r="AZ171" s="30"/>
      <c r="BA171" s="30"/>
      <c r="BB171" s="30"/>
      <c r="BC171" s="30"/>
      <c r="BD171" s="108"/>
      <c r="BE171" s="109"/>
      <c r="BF171" s="27"/>
    </row>
    <row r="172" spans="1:58">
      <c r="A172" s="96"/>
      <c r="D172" s="27"/>
      <c r="E172" s="27"/>
      <c r="F172" s="27"/>
      <c r="G172" s="27"/>
      <c r="H172" s="27"/>
      <c r="I172" s="27"/>
      <c r="J172" s="28"/>
      <c r="K172" s="27"/>
      <c r="L172" s="27"/>
      <c r="M172" s="27"/>
      <c r="N172" s="28"/>
      <c r="O172" s="27"/>
      <c r="P172" s="27"/>
      <c r="Q172" s="28"/>
      <c r="R172" s="27"/>
      <c r="S172" s="27"/>
      <c r="T172" s="28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8"/>
      <c r="AS172" s="27"/>
      <c r="AT172" s="27"/>
      <c r="AU172" s="82"/>
      <c r="AV172" s="86"/>
      <c r="AW172" s="28"/>
      <c r="AX172" s="29"/>
      <c r="AY172" s="30"/>
      <c r="AZ172" s="30"/>
      <c r="BA172" s="30"/>
      <c r="BB172" s="30"/>
      <c r="BC172" s="30"/>
      <c r="BD172" s="108"/>
      <c r="BE172" s="109"/>
      <c r="BF172" s="27"/>
    </row>
    <row r="173" spans="1:58">
      <c r="A173" s="96"/>
      <c r="D173" s="27"/>
      <c r="E173" s="27"/>
      <c r="F173" s="27"/>
      <c r="G173" s="27"/>
      <c r="H173" s="27"/>
      <c r="I173" s="27"/>
      <c r="J173" s="28"/>
      <c r="K173" s="27"/>
      <c r="L173" s="27"/>
      <c r="M173" s="27"/>
      <c r="N173" s="28"/>
      <c r="O173" s="27"/>
      <c r="P173" s="27"/>
      <c r="Q173" s="28"/>
      <c r="R173" s="27"/>
      <c r="S173" s="27"/>
      <c r="T173" s="28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8"/>
      <c r="AS173" s="27"/>
      <c r="AT173" s="27"/>
      <c r="AU173" s="82"/>
      <c r="AV173" s="86"/>
      <c r="AW173" s="28"/>
      <c r="AX173" s="29"/>
      <c r="AY173" s="30"/>
      <c r="AZ173" s="30"/>
      <c r="BA173" s="30"/>
      <c r="BB173" s="30"/>
      <c r="BC173" s="30"/>
      <c r="BD173" s="108"/>
      <c r="BE173" s="109"/>
      <c r="BF173" s="27"/>
    </row>
    <row r="174" spans="1:58">
      <c r="A174" s="96"/>
      <c r="D174" s="27"/>
      <c r="E174" s="27"/>
      <c r="F174" s="27"/>
      <c r="G174" s="27"/>
      <c r="H174" s="27"/>
      <c r="I174" s="27"/>
      <c r="J174" s="28"/>
      <c r="K174" s="27"/>
      <c r="L174" s="27"/>
      <c r="M174" s="27"/>
      <c r="N174" s="28"/>
      <c r="O174" s="27"/>
      <c r="P174" s="27"/>
      <c r="Q174" s="28"/>
      <c r="R174" s="27"/>
      <c r="S174" s="27"/>
      <c r="T174" s="28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8"/>
      <c r="AS174" s="27"/>
      <c r="AT174" s="27"/>
      <c r="AU174" s="82"/>
      <c r="AV174" s="86"/>
      <c r="AW174" s="28"/>
      <c r="AX174" s="29"/>
      <c r="AY174" s="30"/>
      <c r="AZ174" s="30"/>
      <c r="BA174" s="30"/>
      <c r="BB174" s="30"/>
      <c r="BC174" s="30"/>
      <c r="BD174" s="108"/>
      <c r="BE174" s="109"/>
      <c r="BF174" s="27"/>
    </row>
    <row r="175" spans="1:58">
      <c r="A175" s="96"/>
      <c r="D175" s="27"/>
      <c r="E175" s="27"/>
      <c r="F175" s="27"/>
      <c r="G175" s="27"/>
      <c r="H175" s="27"/>
      <c r="I175" s="27"/>
      <c r="J175" s="28"/>
      <c r="K175" s="27"/>
      <c r="L175" s="27"/>
      <c r="M175" s="27"/>
      <c r="N175" s="28"/>
      <c r="O175" s="27"/>
      <c r="P175" s="27"/>
      <c r="Q175" s="28"/>
      <c r="R175" s="27"/>
      <c r="S175" s="27"/>
      <c r="T175" s="28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8"/>
      <c r="AS175" s="27"/>
      <c r="AT175" s="27"/>
      <c r="AU175" s="82"/>
      <c r="AV175" s="86"/>
      <c r="AW175" s="28"/>
      <c r="AX175" s="29"/>
      <c r="AY175" s="30"/>
      <c r="AZ175" s="30"/>
      <c r="BA175" s="30"/>
      <c r="BB175" s="30"/>
      <c r="BC175" s="30"/>
      <c r="BD175" s="108"/>
      <c r="BE175" s="109"/>
      <c r="BF175" s="27"/>
    </row>
    <row r="176" spans="1:58">
      <c r="A176" s="96"/>
      <c r="D176" s="27"/>
      <c r="E176" s="27"/>
      <c r="F176" s="27"/>
      <c r="G176" s="27"/>
      <c r="H176" s="27"/>
      <c r="I176" s="27"/>
      <c r="J176" s="28"/>
      <c r="K176" s="27"/>
      <c r="L176" s="27"/>
      <c r="M176" s="27"/>
      <c r="N176" s="28"/>
      <c r="O176" s="27"/>
      <c r="P176" s="27"/>
      <c r="Q176" s="28"/>
      <c r="R176" s="27"/>
      <c r="S176" s="27"/>
      <c r="T176" s="28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8"/>
      <c r="AS176" s="27"/>
      <c r="AT176" s="27"/>
      <c r="AU176" s="82"/>
      <c r="AV176" s="86"/>
      <c r="AW176" s="28"/>
      <c r="AX176" s="29"/>
      <c r="AY176" s="30"/>
      <c r="AZ176" s="30"/>
      <c r="BA176" s="30"/>
      <c r="BB176" s="30"/>
      <c r="BC176" s="30"/>
      <c r="BD176" s="108"/>
      <c r="BE176" s="109"/>
      <c r="BF176" s="27"/>
    </row>
    <row r="177" spans="1:58">
      <c r="A177" s="96"/>
      <c r="D177" s="27"/>
      <c r="E177" s="27"/>
      <c r="F177" s="27"/>
      <c r="G177" s="27"/>
      <c r="H177" s="27"/>
      <c r="I177" s="27"/>
      <c r="J177" s="28"/>
      <c r="K177" s="27"/>
      <c r="L177" s="27"/>
      <c r="M177" s="27"/>
      <c r="N177" s="28"/>
      <c r="O177" s="27"/>
      <c r="P177" s="27"/>
      <c r="Q177" s="28"/>
      <c r="R177" s="27"/>
      <c r="S177" s="27"/>
      <c r="T177" s="28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8"/>
      <c r="AS177" s="27"/>
      <c r="AT177" s="27"/>
      <c r="AU177" s="82"/>
      <c r="AV177" s="86"/>
      <c r="AW177" s="28"/>
      <c r="AX177" s="29"/>
      <c r="AY177" s="30"/>
      <c r="AZ177" s="30"/>
      <c r="BA177" s="30"/>
      <c r="BB177" s="30"/>
      <c r="BC177" s="30"/>
      <c r="BD177" s="108"/>
      <c r="BE177" s="109"/>
      <c r="BF177" s="27"/>
    </row>
    <row r="178" spans="1:58">
      <c r="A178" s="96"/>
      <c r="D178" s="27"/>
      <c r="E178" s="27"/>
      <c r="F178" s="27"/>
      <c r="G178" s="27"/>
      <c r="H178" s="27"/>
      <c r="I178" s="27"/>
      <c r="J178" s="28"/>
      <c r="K178" s="27"/>
      <c r="L178" s="27"/>
      <c r="M178" s="27"/>
      <c r="N178" s="28"/>
      <c r="O178" s="27"/>
      <c r="P178" s="27"/>
      <c r="Q178" s="28"/>
      <c r="R178" s="27"/>
      <c r="S178" s="27"/>
      <c r="T178" s="28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8"/>
      <c r="AS178" s="27"/>
      <c r="AT178" s="27"/>
      <c r="AU178" s="82"/>
      <c r="AV178" s="86"/>
      <c r="AW178" s="28"/>
      <c r="AX178" s="29"/>
      <c r="AY178" s="30"/>
      <c r="AZ178" s="30"/>
      <c r="BA178" s="30"/>
      <c r="BB178" s="30"/>
      <c r="BC178" s="30"/>
      <c r="BD178" s="108"/>
      <c r="BE178" s="109"/>
      <c r="BF178" s="27"/>
    </row>
    <row r="179" spans="1:58">
      <c r="A179" s="96"/>
      <c r="D179" s="27"/>
      <c r="E179" s="27"/>
      <c r="F179" s="27"/>
      <c r="G179" s="27"/>
      <c r="H179" s="27"/>
      <c r="I179" s="27"/>
      <c r="J179" s="28"/>
      <c r="K179" s="27"/>
      <c r="L179" s="27"/>
      <c r="M179" s="27"/>
      <c r="N179" s="28"/>
      <c r="O179" s="27"/>
      <c r="P179" s="27"/>
      <c r="Q179" s="28"/>
      <c r="R179" s="27"/>
      <c r="S179" s="27"/>
      <c r="T179" s="28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8"/>
      <c r="AS179" s="27"/>
      <c r="AT179" s="27"/>
      <c r="AU179" s="82"/>
      <c r="AV179" s="86"/>
      <c r="AW179" s="28"/>
      <c r="AX179" s="29"/>
      <c r="AY179" s="30"/>
      <c r="AZ179" s="30"/>
      <c r="BA179" s="30"/>
      <c r="BB179" s="30"/>
      <c r="BC179" s="30"/>
      <c r="BD179" s="108"/>
      <c r="BE179" s="109"/>
      <c r="BF179" s="27"/>
    </row>
    <row r="180" spans="1:58">
      <c r="A180" s="96"/>
      <c r="D180" s="27"/>
      <c r="E180" s="27"/>
      <c r="F180" s="27"/>
      <c r="G180" s="27"/>
      <c r="H180" s="27"/>
      <c r="I180" s="27"/>
      <c r="J180" s="28"/>
      <c r="K180" s="27"/>
      <c r="L180" s="27"/>
      <c r="M180" s="27"/>
      <c r="N180" s="28"/>
      <c r="O180" s="27"/>
      <c r="P180" s="27"/>
      <c r="Q180" s="28"/>
      <c r="R180" s="27"/>
      <c r="S180" s="27"/>
      <c r="T180" s="28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8"/>
      <c r="AS180" s="27"/>
      <c r="AT180" s="27"/>
      <c r="AU180" s="82"/>
      <c r="AV180" s="86"/>
      <c r="AW180" s="28"/>
      <c r="AX180" s="29"/>
      <c r="AY180" s="30"/>
      <c r="AZ180" s="30"/>
      <c r="BA180" s="30"/>
      <c r="BB180" s="30"/>
      <c r="BC180" s="30"/>
      <c r="BD180" s="108"/>
      <c r="BE180" s="109"/>
      <c r="BF180" s="27"/>
    </row>
    <row r="181" spans="1:58">
      <c r="A181" s="96"/>
      <c r="D181" s="27"/>
      <c r="E181" s="27"/>
      <c r="F181" s="27"/>
      <c r="G181" s="27"/>
      <c r="H181" s="27"/>
      <c r="I181" s="27"/>
      <c r="J181" s="28"/>
      <c r="K181" s="27"/>
      <c r="L181" s="27"/>
      <c r="M181" s="27"/>
      <c r="N181" s="28"/>
      <c r="O181" s="27"/>
      <c r="P181" s="27"/>
      <c r="Q181" s="28"/>
      <c r="R181" s="27"/>
      <c r="S181" s="27"/>
      <c r="T181" s="28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8"/>
      <c r="AS181" s="27"/>
      <c r="AT181" s="27"/>
      <c r="AU181" s="82"/>
      <c r="AV181" s="86"/>
      <c r="AW181" s="28"/>
      <c r="AX181" s="29"/>
      <c r="AY181" s="30"/>
      <c r="AZ181" s="30"/>
      <c r="BA181" s="30"/>
      <c r="BB181" s="30"/>
      <c r="BC181" s="30"/>
      <c r="BD181" s="108"/>
      <c r="BE181" s="109"/>
      <c r="BF181" s="27"/>
    </row>
    <row r="182" spans="1:58">
      <c r="A182" s="96"/>
      <c r="D182" s="27"/>
      <c r="E182" s="27"/>
      <c r="F182" s="27"/>
      <c r="G182" s="27"/>
      <c r="H182" s="27"/>
      <c r="I182" s="27"/>
      <c r="J182" s="28"/>
      <c r="K182" s="27"/>
      <c r="L182" s="27"/>
      <c r="M182" s="27"/>
      <c r="N182" s="28"/>
      <c r="O182" s="27"/>
      <c r="P182" s="27"/>
      <c r="Q182" s="28"/>
      <c r="R182" s="27"/>
      <c r="S182" s="27"/>
      <c r="T182" s="28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8"/>
      <c r="AS182" s="27"/>
      <c r="AT182" s="27"/>
      <c r="AU182" s="82"/>
      <c r="AV182" s="86"/>
      <c r="AW182" s="28"/>
      <c r="AX182" s="29"/>
      <c r="AY182" s="30"/>
      <c r="AZ182" s="30"/>
      <c r="BA182" s="30"/>
      <c r="BB182" s="30"/>
      <c r="BC182" s="30"/>
      <c r="BD182" s="108"/>
      <c r="BE182" s="109"/>
      <c r="BF182" s="27"/>
    </row>
    <row r="183" spans="1:58">
      <c r="A183" s="96"/>
      <c r="D183" s="27"/>
      <c r="E183" s="27"/>
      <c r="F183" s="27"/>
      <c r="G183" s="27"/>
      <c r="H183" s="27"/>
      <c r="I183" s="27"/>
      <c r="J183" s="28"/>
      <c r="K183" s="27"/>
      <c r="L183" s="27"/>
      <c r="M183" s="27"/>
      <c r="N183" s="28"/>
      <c r="O183" s="27"/>
      <c r="P183" s="27"/>
      <c r="Q183" s="28"/>
      <c r="R183" s="27"/>
      <c r="S183" s="27"/>
      <c r="T183" s="28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8"/>
      <c r="AS183" s="27"/>
      <c r="AT183" s="27"/>
      <c r="AU183" s="82"/>
      <c r="AV183" s="86"/>
      <c r="AW183" s="28"/>
      <c r="AX183" s="29"/>
      <c r="AY183" s="30"/>
      <c r="AZ183" s="30"/>
      <c r="BA183" s="30"/>
      <c r="BB183" s="30"/>
      <c r="BC183" s="30"/>
      <c r="BD183" s="108"/>
      <c r="BE183" s="109"/>
      <c r="BF183" s="27"/>
    </row>
    <row r="184" spans="1:58">
      <c r="A184" s="96"/>
      <c r="D184" s="27"/>
      <c r="E184" s="27"/>
      <c r="F184" s="27"/>
      <c r="G184" s="27"/>
      <c r="H184" s="27"/>
      <c r="I184" s="27"/>
      <c r="J184" s="28"/>
      <c r="K184" s="27"/>
      <c r="L184" s="27"/>
      <c r="M184" s="27"/>
      <c r="N184" s="28"/>
      <c r="O184" s="27"/>
      <c r="P184" s="27"/>
      <c r="Q184" s="28"/>
      <c r="R184" s="27"/>
      <c r="S184" s="27"/>
      <c r="T184" s="28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8"/>
      <c r="AS184" s="27"/>
      <c r="AT184" s="27"/>
      <c r="AU184" s="82"/>
      <c r="AV184" s="86"/>
      <c r="AW184" s="28"/>
      <c r="AX184" s="29"/>
      <c r="AY184" s="30"/>
      <c r="AZ184" s="30"/>
      <c r="BA184" s="30"/>
      <c r="BB184" s="30"/>
      <c r="BC184" s="30"/>
      <c r="BD184" s="108"/>
      <c r="BE184" s="109"/>
      <c r="BF184" s="27"/>
    </row>
    <row r="185" spans="1:58">
      <c r="A185" s="96"/>
      <c r="D185" s="27"/>
      <c r="E185" s="27"/>
      <c r="F185" s="27"/>
      <c r="G185" s="27"/>
      <c r="H185" s="27"/>
      <c r="I185" s="27"/>
      <c r="J185" s="28"/>
      <c r="K185" s="27"/>
      <c r="L185" s="27"/>
      <c r="M185" s="27"/>
      <c r="N185" s="28"/>
      <c r="O185" s="27"/>
      <c r="P185" s="27"/>
      <c r="Q185" s="28"/>
      <c r="R185" s="27"/>
      <c r="S185" s="27"/>
      <c r="T185" s="28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8"/>
      <c r="AS185" s="27"/>
      <c r="AT185" s="27"/>
      <c r="AU185" s="82"/>
      <c r="AV185" s="86"/>
      <c r="AW185" s="28"/>
      <c r="AX185" s="29"/>
      <c r="AY185" s="30"/>
      <c r="AZ185" s="30"/>
      <c r="BA185" s="30"/>
      <c r="BB185" s="30"/>
      <c r="BC185" s="30"/>
      <c r="BD185" s="108"/>
      <c r="BE185" s="109"/>
      <c r="BF185" s="27"/>
    </row>
    <row r="186" spans="1:58">
      <c r="A186" s="96"/>
      <c r="D186" s="27"/>
      <c r="E186" s="27"/>
      <c r="F186" s="27"/>
      <c r="G186" s="27"/>
      <c r="H186" s="27"/>
      <c r="I186" s="27"/>
      <c r="J186" s="28"/>
      <c r="K186" s="27"/>
      <c r="L186" s="27"/>
      <c r="M186" s="27"/>
      <c r="N186" s="28"/>
      <c r="O186" s="27"/>
      <c r="P186" s="27"/>
      <c r="Q186" s="28"/>
      <c r="R186" s="27"/>
      <c r="S186" s="27"/>
      <c r="T186" s="28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8"/>
      <c r="AS186" s="27"/>
      <c r="AT186" s="27"/>
      <c r="AU186" s="82"/>
      <c r="AV186" s="86"/>
      <c r="AW186" s="28"/>
      <c r="AX186" s="29"/>
      <c r="AY186" s="30"/>
      <c r="AZ186" s="30"/>
      <c r="BA186" s="30"/>
      <c r="BB186" s="30"/>
      <c r="BC186" s="30"/>
      <c r="BD186" s="108"/>
      <c r="BE186" s="109"/>
      <c r="BF186" s="27"/>
    </row>
    <row r="187" spans="1:58">
      <c r="A187" s="96"/>
      <c r="D187" s="27"/>
      <c r="E187" s="27"/>
      <c r="F187" s="27"/>
      <c r="G187" s="27"/>
      <c r="H187" s="27"/>
      <c r="I187" s="27"/>
      <c r="J187" s="28"/>
      <c r="K187" s="27"/>
      <c r="L187" s="27"/>
      <c r="M187" s="27"/>
      <c r="N187" s="28"/>
      <c r="O187" s="27"/>
      <c r="P187" s="27"/>
      <c r="Q187" s="28"/>
      <c r="R187" s="27"/>
      <c r="S187" s="27"/>
      <c r="T187" s="28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8"/>
      <c r="AS187" s="27"/>
      <c r="AT187" s="27"/>
      <c r="AU187" s="82"/>
      <c r="AV187" s="86"/>
      <c r="AW187" s="28"/>
      <c r="AX187" s="29"/>
      <c r="AY187" s="30"/>
      <c r="AZ187" s="30"/>
      <c r="BA187" s="30"/>
      <c r="BB187" s="30"/>
      <c r="BC187" s="30"/>
      <c r="BD187" s="108"/>
      <c r="BE187" s="109"/>
      <c r="BF187" s="27"/>
    </row>
    <row r="188" spans="1:58">
      <c r="A188" s="96"/>
      <c r="D188" s="27"/>
      <c r="E188" s="27"/>
      <c r="F188" s="27"/>
      <c r="G188" s="27"/>
      <c r="H188" s="27"/>
      <c r="I188" s="27"/>
      <c r="J188" s="28"/>
      <c r="K188" s="27"/>
      <c r="L188" s="27"/>
      <c r="M188" s="27"/>
      <c r="N188" s="28"/>
      <c r="O188" s="27"/>
      <c r="P188" s="27"/>
      <c r="Q188" s="28"/>
      <c r="R188" s="27"/>
      <c r="S188" s="27"/>
      <c r="T188" s="28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8"/>
      <c r="AS188" s="27"/>
      <c r="AT188" s="27"/>
      <c r="AU188" s="82"/>
      <c r="AV188" s="86"/>
      <c r="AW188" s="28"/>
      <c r="AX188" s="29"/>
      <c r="AY188" s="30"/>
      <c r="AZ188" s="30"/>
      <c r="BA188" s="30"/>
      <c r="BB188" s="30"/>
      <c r="BC188" s="30"/>
      <c r="BD188" s="108"/>
      <c r="BE188" s="109"/>
      <c r="BF188" s="27"/>
    </row>
    <row r="189" spans="1:58">
      <c r="A189" s="96"/>
      <c r="D189" s="27"/>
      <c r="E189" s="27"/>
      <c r="F189" s="27"/>
      <c r="G189" s="27"/>
      <c r="H189" s="27"/>
      <c r="I189" s="27"/>
      <c r="J189" s="28"/>
      <c r="K189" s="27"/>
      <c r="L189" s="27"/>
      <c r="M189" s="27"/>
      <c r="N189" s="28"/>
      <c r="O189" s="27"/>
      <c r="P189" s="27"/>
      <c r="Q189" s="28"/>
      <c r="R189" s="27"/>
      <c r="S189" s="27"/>
      <c r="T189" s="28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8"/>
      <c r="AS189" s="27"/>
      <c r="AT189" s="27"/>
      <c r="AU189" s="82"/>
      <c r="AV189" s="86"/>
      <c r="AW189" s="28"/>
      <c r="AX189" s="29"/>
      <c r="AY189" s="30"/>
      <c r="AZ189" s="30"/>
      <c r="BA189" s="30"/>
      <c r="BB189" s="30"/>
      <c r="BC189" s="30"/>
      <c r="BD189" s="108"/>
      <c r="BE189" s="109"/>
      <c r="BF189" s="27"/>
    </row>
    <row r="190" spans="1:58">
      <c r="A190" s="96"/>
      <c r="D190" s="27"/>
      <c r="E190" s="27"/>
      <c r="F190" s="27"/>
      <c r="G190" s="27"/>
      <c r="H190" s="27"/>
      <c r="I190" s="27"/>
      <c r="J190" s="28"/>
      <c r="K190" s="27"/>
      <c r="L190" s="27"/>
      <c r="M190" s="27"/>
      <c r="N190" s="28"/>
      <c r="O190" s="27"/>
      <c r="P190" s="27"/>
      <c r="Q190" s="28"/>
      <c r="R190" s="27"/>
      <c r="S190" s="27"/>
      <c r="T190" s="28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8"/>
      <c r="AS190" s="27"/>
      <c r="AT190" s="27"/>
      <c r="AU190" s="82"/>
      <c r="AV190" s="86"/>
      <c r="AW190" s="28"/>
      <c r="AX190" s="29"/>
      <c r="AY190" s="30"/>
      <c r="AZ190" s="30"/>
      <c r="BA190" s="30"/>
      <c r="BB190" s="30"/>
      <c r="BC190" s="30"/>
      <c r="BD190" s="108"/>
      <c r="BE190" s="109"/>
      <c r="BF190" s="27"/>
    </row>
    <row r="191" spans="1:58">
      <c r="A191" s="96"/>
      <c r="D191" s="27"/>
      <c r="E191" s="27"/>
      <c r="F191" s="27"/>
      <c r="G191" s="27"/>
      <c r="H191" s="27"/>
      <c r="I191" s="27"/>
      <c r="J191" s="28"/>
      <c r="K191" s="27"/>
      <c r="L191" s="27"/>
      <c r="M191" s="27"/>
      <c r="N191" s="28"/>
      <c r="O191" s="27"/>
      <c r="P191" s="27"/>
      <c r="Q191" s="28"/>
      <c r="R191" s="27"/>
      <c r="S191" s="27"/>
      <c r="T191" s="28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8"/>
      <c r="AS191" s="27"/>
      <c r="AT191" s="27"/>
      <c r="AU191" s="82"/>
      <c r="AV191" s="86"/>
      <c r="AW191" s="28"/>
      <c r="AX191" s="29"/>
      <c r="AY191" s="30"/>
      <c r="AZ191" s="30"/>
      <c r="BA191" s="30"/>
      <c r="BB191" s="30"/>
      <c r="BC191" s="30"/>
      <c r="BD191" s="108"/>
      <c r="BE191" s="109"/>
      <c r="BF191" s="27"/>
    </row>
    <row r="192" spans="1:58">
      <c r="A192" s="96"/>
      <c r="D192" s="27"/>
      <c r="E192" s="27"/>
      <c r="F192" s="27"/>
      <c r="G192" s="27"/>
      <c r="H192" s="27"/>
      <c r="I192" s="27"/>
      <c r="J192" s="28"/>
      <c r="K192" s="27"/>
      <c r="L192" s="27"/>
      <c r="M192" s="27"/>
      <c r="N192" s="28"/>
      <c r="O192" s="27"/>
      <c r="P192" s="27"/>
      <c r="Q192" s="28"/>
      <c r="R192" s="27"/>
      <c r="S192" s="27"/>
      <c r="T192" s="28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8"/>
      <c r="AS192" s="27"/>
      <c r="AT192" s="27"/>
      <c r="AU192" s="82"/>
      <c r="AV192" s="86"/>
      <c r="AW192" s="28"/>
      <c r="AX192" s="29"/>
      <c r="AY192" s="30"/>
      <c r="AZ192" s="30"/>
      <c r="BA192" s="30"/>
      <c r="BB192" s="30"/>
      <c r="BC192" s="30"/>
      <c r="BD192" s="108"/>
      <c r="BE192" s="109"/>
      <c r="BF192" s="27"/>
    </row>
    <row r="193" spans="1:58">
      <c r="A193" s="96"/>
      <c r="D193" s="27"/>
      <c r="E193" s="27"/>
      <c r="F193" s="27"/>
      <c r="G193" s="27"/>
      <c r="H193" s="27"/>
      <c r="I193" s="27"/>
      <c r="J193" s="28"/>
      <c r="K193" s="27"/>
      <c r="L193" s="27"/>
      <c r="M193" s="27"/>
      <c r="N193" s="28"/>
      <c r="O193" s="27"/>
      <c r="P193" s="27"/>
      <c r="Q193" s="28"/>
      <c r="R193" s="27"/>
      <c r="S193" s="27"/>
      <c r="T193" s="28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8"/>
      <c r="AS193" s="27"/>
      <c r="AT193" s="27"/>
      <c r="AU193" s="82"/>
      <c r="AV193" s="86"/>
      <c r="AW193" s="28"/>
      <c r="AX193" s="29"/>
      <c r="AY193" s="30"/>
      <c r="AZ193" s="30"/>
      <c r="BA193" s="30"/>
      <c r="BB193" s="30"/>
      <c r="BC193" s="30"/>
      <c r="BD193" s="108"/>
      <c r="BE193" s="109"/>
      <c r="BF193" s="27"/>
    </row>
    <row r="194" spans="1:58">
      <c r="A194" s="96"/>
      <c r="D194" s="27"/>
      <c r="E194" s="27"/>
      <c r="F194" s="27"/>
      <c r="G194" s="27"/>
      <c r="H194" s="27"/>
      <c r="I194" s="27"/>
      <c r="J194" s="28"/>
      <c r="K194" s="27"/>
      <c r="L194" s="27"/>
      <c r="M194" s="27"/>
      <c r="N194" s="28"/>
      <c r="O194" s="27"/>
      <c r="P194" s="27"/>
      <c r="Q194" s="28"/>
      <c r="R194" s="27"/>
      <c r="S194" s="27"/>
      <c r="T194" s="28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8"/>
      <c r="AS194" s="27"/>
      <c r="AT194" s="27"/>
      <c r="AU194" s="82"/>
      <c r="AV194" s="86"/>
      <c r="AW194" s="28"/>
      <c r="AX194" s="29"/>
      <c r="AY194" s="30"/>
      <c r="AZ194" s="30"/>
      <c r="BA194" s="30"/>
      <c r="BB194" s="30"/>
      <c r="BC194" s="30"/>
      <c r="BD194" s="108"/>
      <c r="BE194" s="109"/>
      <c r="BF194" s="27"/>
    </row>
    <row r="195" spans="1:58">
      <c r="A195" s="96"/>
      <c r="D195" s="27"/>
      <c r="E195" s="27"/>
      <c r="F195" s="27"/>
      <c r="G195" s="27"/>
      <c r="H195" s="27"/>
      <c r="I195" s="27"/>
      <c r="J195" s="28"/>
      <c r="K195" s="27"/>
      <c r="L195" s="27"/>
      <c r="M195" s="27"/>
      <c r="N195" s="28"/>
      <c r="O195" s="27"/>
      <c r="P195" s="27"/>
      <c r="Q195" s="28"/>
      <c r="R195" s="27"/>
      <c r="S195" s="27"/>
      <c r="T195" s="28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8"/>
      <c r="AS195" s="27"/>
      <c r="AT195" s="27"/>
      <c r="AU195" s="82"/>
      <c r="AV195" s="86"/>
      <c r="AW195" s="28"/>
      <c r="AX195" s="29"/>
      <c r="AY195" s="30"/>
      <c r="AZ195" s="30"/>
      <c r="BA195" s="30"/>
      <c r="BB195" s="30"/>
      <c r="BC195" s="30"/>
      <c r="BD195" s="108"/>
      <c r="BE195" s="109"/>
      <c r="BF195" s="27"/>
    </row>
    <row r="196" spans="1:58">
      <c r="A196" s="96"/>
      <c r="D196" s="27"/>
      <c r="E196" s="27"/>
      <c r="F196" s="27"/>
      <c r="G196" s="27"/>
      <c r="H196" s="27"/>
      <c r="I196" s="27"/>
      <c r="J196" s="28"/>
      <c r="K196" s="27"/>
      <c r="L196" s="27"/>
      <c r="M196" s="27"/>
      <c r="N196" s="28"/>
      <c r="O196" s="27"/>
      <c r="P196" s="27"/>
      <c r="Q196" s="28"/>
      <c r="R196" s="27"/>
      <c r="S196" s="27"/>
      <c r="T196" s="28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8"/>
      <c r="AS196" s="27"/>
      <c r="AT196" s="27"/>
      <c r="AU196" s="82"/>
      <c r="AV196" s="86"/>
      <c r="AW196" s="28"/>
      <c r="AX196" s="29"/>
      <c r="AY196" s="30"/>
      <c r="AZ196" s="30"/>
      <c r="BA196" s="30"/>
      <c r="BB196" s="30"/>
      <c r="BC196" s="30"/>
      <c r="BD196" s="108"/>
      <c r="BE196" s="109"/>
      <c r="BF196" s="27"/>
    </row>
    <row r="197" spans="1:58">
      <c r="A197" s="96"/>
      <c r="D197" s="27"/>
      <c r="E197" s="27"/>
      <c r="F197" s="27"/>
      <c r="G197" s="27"/>
      <c r="H197" s="27"/>
      <c r="I197" s="27"/>
      <c r="J197" s="28"/>
      <c r="K197" s="27"/>
      <c r="L197" s="27"/>
      <c r="M197" s="27"/>
      <c r="N197" s="28"/>
      <c r="O197" s="27"/>
      <c r="P197" s="27"/>
      <c r="Q197" s="28"/>
      <c r="R197" s="27"/>
      <c r="S197" s="27"/>
      <c r="T197" s="28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8"/>
      <c r="AS197" s="27"/>
      <c r="AT197" s="27"/>
      <c r="AU197" s="82"/>
      <c r="AV197" s="86"/>
      <c r="AW197" s="28"/>
      <c r="AX197" s="29"/>
      <c r="AY197" s="30"/>
      <c r="AZ197" s="30"/>
      <c r="BA197" s="30"/>
      <c r="BB197" s="30"/>
      <c r="BC197" s="30"/>
      <c r="BD197" s="108"/>
      <c r="BE197" s="109"/>
      <c r="BF197" s="27"/>
    </row>
    <row r="198" spans="1:58">
      <c r="A198" s="96"/>
      <c r="D198" s="27"/>
      <c r="E198" s="27"/>
      <c r="F198" s="27"/>
      <c r="G198" s="27"/>
      <c r="H198" s="27"/>
      <c r="I198" s="27"/>
      <c r="J198" s="28"/>
      <c r="K198" s="27"/>
      <c r="L198" s="27"/>
      <c r="M198" s="27"/>
      <c r="N198" s="28"/>
      <c r="O198" s="27"/>
      <c r="P198" s="27"/>
      <c r="Q198" s="28"/>
      <c r="R198" s="27"/>
      <c r="S198" s="27"/>
      <c r="T198" s="28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8"/>
      <c r="AS198" s="27"/>
      <c r="AT198" s="27"/>
      <c r="AU198" s="82"/>
      <c r="AV198" s="86"/>
      <c r="AW198" s="28"/>
      <c r="AX198" s="29"/>
      <c r="AY198" s="30"/>
      <c r="AZ198" s="30"/>
      <c r="BA198" s="30"/>
      <c r="BB198" s="30"/>
      <c r="BC198" s="30"/>
      <c r="BD198" s="108"/>
      <c r="BE198" s="109"/>
      <c r="BF198" s="27"/>
    </row>
    <row r="199" spans="1:58">
      <c r="A199" s="96"/>
      <c r="D199" s="27"/>
      <c r="E199" s="27"/>
      <c r="F199" s="27"/>
      <c r="G199" s="27"/>
      <c r="H199" s="27"/>
      <c r="I199" s="27"/>
      <c r="J199" s="28"/>
      <c r="K199" s="27"/>
      <c r="L199" s="27"/>
      <c r="M199" s="27"/>
      <c r="N199" s="28"/>
      <c r="O199" s="27"/>
      <c r="P199" s="27"/>
      <c r="Q199" s="28"/>
      <c r="R199" s="27"/>
      <c r="S199" s="27"/>
      <c r="T199" s="28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8"/>
      <c r="AS199" s="27"/>
      <c r="AT199" s="27"/>
      <c r="AU199" s="82"/>
      <c r="AV199" s="86"/>
      <c r="AW199" s="28"/>
      <c r="AX199" s="29"/>
      <c r="AY199" s="30"/>
      <c r="AZ199" s="30"/>
      <c r="BA199" s="30"/>
      <c r="BB199" s="30"/>
      <c r="BC199" s="30"/>
      <c r="BD199" s="108"/>
      <c r="BE199" s="109"/>
      <c r="BF199" s="27"/>
    </row>
  </sheetData>
  <autoFilter ref="A10:BN92">
    <sortState ref="A11:BN92">
      <sortCondition ref="A11:A92" customList="ML,AAA,AA,A,S A"/>
      <sortCondition descending="1" ref="AX11:AX92"/>
      <sortCondition descending="1" ref="AZ11:AZ92"/>
      <sortCondition ref="B11:B92" customList="SP,MR,RP,CL,DL"/>
    </sortState>
  </autoFilter>
  <sortState ref="A11:BN91">
    <sortCondition ref="A11:A91" customList="ML,AAA,AA,A,S A"/>
    <sortCondition ref="B11:B91" customList="SP,MR,RP,CL,DL"/>
    <sortCondition descending="1" ref="AX11:AX91"/>
    <sortCondition descending="1" ref="AZ11:AZ91"/>
    <sortCondition descending="1" ref="BH11:BH91"/>
    <sortCondition descending="1" ref="C11:C91"/>
    <sortCondition ref="E11:E91"/>
  </sortState>
  <phoneticPr fontId="2" type="noConversion"/>
  <conditionalFormatting sqref="K11:L199">
    <cfRule type="expression" dxfId="125" priority="1">
      <formula>IF(K11&lt;&gt;"1 star",1,0)</formula>
    </cfRule>
  </conditionalFormatting>
  <conditionalFormatting sqref="A11:XFD199">
    <cfRule type="expression" dxfId="124" priority="2">
      <formula>IF(MOD(ROW(),2)=1,1,0)</formula>
    </cfRule>
  </conditionalFormatting>
  <conditionalFormatting sqref="A11:XFD199">
    <cfRule type="expression" dxfId="123" priority="5">
      <formula>IF($BJ11&lt;18,1,0)</formula>
    </cfRule>
  </conditionalFormatting>
  <conditionalFormatting sqref="A11:BN199">
    <cfRule type="expression" dxfId="122" priority="3">
      <formula>IF($BJ11&lt;12,1,0)</formula>
    </cfRule>
    <cfRule type="expression" dxfId="121" priority="4">
      <formula>IF($BJ11&lt;15,1,0)</formula>
    </cfRule>
  </conditionalFormatting>
  <pageMargins left="0.75" right="0.75" top="1" bottom="1" header="0.5" footer="0.5"/>
  <pageSetup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published="0">
    <tabColor theme="3" tint="0.39997558519241921"/>
  </sheetPr>
  <dimension ref="A1:AZ72"/>
  <sheetViews>
    <sheetView topLeftCell="A37" zoomScale="85" zoomScaleNormal="85" workbookViewId="0"/>
  </sheetViews>
  <sheetFormatPr defaultRowHeight="15"/>
  <cols>
    <col min="1" max="1" width="3.140625" customWidth="1"/>
    <col min="2" max="2" width="10.7109375" style="1" bestFit="1" customWidth="1"/>
    <col min="3" max="3" width="20" style="26" bestFit="1" customWidth="1"/>
    <col min="4" max="4" width="4.5703125" style="26" customWidth="1"/>
    <col min="5" max="5" width="4.42578125" style="26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1.42578125" bestFit="1" customWidth="1"/>
    <col min="27" max="27" width="4.28515625" bestFit="1" customWidth="1"/>
    <col min="28" max="29" width="4.7109375" bestFit="1" customWidth="1"/>
    <col min="30" max="32" width="4.28515625" bestFit="1" customWidth="1"/>
    <col min="33" max="33" width="6.28515625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>
      <c r="C1" s="321" t="s">
        <v>648</v>
      </c>
      <c r="D1" s="321" t="s">
        <v>649</v>
      </c>
    </row>
    <row r="2" spans="1:52">
      <c r="B2" s="321" t="s">
        <v>650</v>
      </c>
      <c r="C2" s="322">
        <v>6.5</v>
      </c>
      <c r="D2" s="322">
        <v>5</v>
      </c>
    </row>
    <row r="3" spans="1:52">
      <c r="B3" s="321" t="s">
        <v>651</v>
      </c>
      <c r="C3" s="322">
        <v>6.25</v>
      </c>
      <c r="D3" s="322">
        <v>4.5</v>
      </c>
    </row>
    <row r="4" spans="1:52">
      <c r="D4" s="26">
        <v>4</v>
      </c>
      <c r="E4" s="26">
        <v>5</v>
      </c>
      <c r="J4">
        <v>23</v>
      </c>
      <c r="K4">
        <v>21</v>
      </c>
      <c r="L4">
        <v>22</v>
      </c>
      <c r="M4">
        <v>24</v>
      </c>
      <c r="N4">
        <v>25</v>
      </c>
      <c r="O4">
        <v>26</v>
      </c>
      <c r="P4">
        <v>27</v>
      </c>
      <c r="Q4">
        <v>28</v>
      </c>
      <c r="R4">
        <v>29</v>
      </c>
      <c r="S4">
        <v>30</v>
      </c>
      <c r="T4">
        <v>31</v>
      </c>
      <c r="AD4">
        <v>11</v>
      </c>
      <c r="AE4">
        <v>12</v>
      </c>
      <c r="AF4">
        <v>13</v>
      </c>
      <c r="AG4">
        <v>14</v>
      </c>
      <c r="AH4">
        <v>15</v>
      </c>
      <c r="AI4">
        <v>32</v>
      </c>
      <c r="AJ4">
        <v>33</v>
      </c>
      <c r="AU4">
        <v>16</v>
      </c>
      <c r="AV4">
        <v>17</v>
      </c>
      <c r="AW4">
        <v>18</v>
      </c>
      <c r="AX4">
        <v>19</v>
      </c>
      <c r="AY4">
        <v>20</v>
      </c>
    </row>
    <row r="5" spans="1:52" s="24" customFormat="1" ht="216.75">
      <c r="A5" s="25" t="s">
        <v>196</v>
      </c>
      <c r="B5" s="283" t="s">
        <v>127</v>
      </c>
      <c r="C5" s="44" t="str">
        <f>"Player ("&amp;COUNTA(C6:C17)&amp;")"</f>
        <v>Player (6)</v>
      </c>
      <c r="D5" s="44" t="s">
        <v>94</v>
      </c>
      <c r="E5" s="44" t="s">
        <v>104</v>
      </c>
      <c r="F5" s="51" t="str">
        <f>"Only 1 guy who plays only 1B ("&amp;SUM(F6:F17)&amp;")"</f>
        <v>Only 1 guy who plays only 1B (2)</v>
      </c>
      <c r="G5" s="45" t="str">
        <f>"Only 1 guy who can only play 1B or LF ("&amp;SUM(G6:G17)&amp;")"</f>
        <v>Only 1 guy who can only play 1B or LF (2)</v>
      </c>
      <c r="H5" s="46" t="str">
        <f>"2 guys with RF arms ("&amp;SUM(H6:H17)&amp;")"</f>
        <v>2 guys with RF arms (1)</v>
      </c>
      <c r="I5" s="46" t="str">
        <f>"2 guys with CF range ("&amp;SUM(I6:I17)&amp;")"</f>
        <v>2 guys with CF range (2)</v>
      </c>
      <c r="J5" s="55" t="s">
        <v>139</v>
      </c>
      <c r="K5" s="47" t="s">
        <v>137</v>
      </c>
      <c r="L5" s="56" t="s">
        <v>138</v>
      </c>
      <c r="M5" s="48" t="s">
        <v>95</v>
      </c>
      <c r="N5" s="48" t="s">
        <v>97</v>
      </c>
      <c r="O5" s="48" t="s">
        <v>98</v>
      </c>
      <c r="P5" s="48" t="s">
        <v>99</v>
      </c>
      <c r="Q5" s="48" t="s">
        <v>100</v>
      </c>
      <c r="R5" s="48" t="s">
        <v>101</v>
      </c>
      <c r="S5" s="48" t="s">
        <v>102</v>
      </c>
      <c r="T5" s="49" t="s">
        <v>103</v>
      </c>
      <c r="U5" s="51" t="s">
        <v>140</v>
      </c>
      <c r="V5" s="45" t="s">
        <v>184</v>
      </c>
      <c r="W5" s="45" t="s">
        <v>141</v>
      </c>
      <c r="X5" s="45" t="s">
        <v>157</v>
      </c>
      <c r="Y5" s="45" t="s">
        <v>156</v>
      </c>
      <c r="Z5" s="45" t="s">
        <v>144</v>
      </c>
      <c r="AA5" s="45" t="s">
        <v>145</v>
      </c>
      <c r="AB5" s="45" t="s">
        <v>162</v>
      </c>
      <c r="AC5" s="60" t="s">
        <v>146</v>
      </c>
      <c r="AD5" s="48" t="s">
        <v>150</v>
      </c>
      <c r="AE5" s="48" t="s">
        <v>151</v>
      </c>
      <c r="AF5" s="48" t="s">
        <v>152</v>
      </c>
      <c r="AG5" s="48" t="s">
        <v>153</v>
      </c>
      <c r="AH5" s="48" t="s">
        <v>29</v>
      </c>
      <c r="AI5" s="63" t="s">
        <v>154</v>
      </c>
      <c r="AJ5" s="49" t="s">
        <v>155</v>
      </c>
      <c r="AK5" s="66" t="s">
        <v>160</v>
      </c>
      <c r="AL5" s="51" t="s">
        <v>140</v>
      </c>
      <c r="AM5" s="45" t="s">
        <v>184</v>
      </c>
      <c r="AN5" s="45" t="s">
        <v>141</v>
      </c>
      <c r="AO5" s="45" t="s">
        <v>157</v>
      </c>
      <c r="AP5" s="45" t="s">
        <v>156</v>
      </c>
      <c r="AQ5" s="45" t="s">
        <v>144</v>
      </c>
      <c r="AR5" s="45" t="s">
        <v>145</v>
      </c>
      <c r="AS5" s="45" t="s">
        <v>162</v>
      </c>
      <c r="AT5" s="60" t="s">
        <v>146</v>
      </c>
      <c r="AU5" s="63" t="s">
        <v>150</v>
      </c>
      <c r="AV5" s="48" t="s">
        <v>151</v>
      </c>
      <c r="AW5" s="48" t="s">
        <v>152</v>
      </c>
      <c r="AX5" s="48" t="s">
        <v>153</v>
      </c>
      <c r="AY5" s="49" t="s">
        <v>29</v>
      </c>
      <c r="AZ5" s="66" t="s">
        <v>201</v>
      </c>
    </row>
    <row r="6" spans="1:52">
      <c r="A6">
        <v>1</v>
      </c>
      <c r="B6" s="32" t="s">
        <v>97</v>
      </c>
      <c r="C6" s="37" t="s">
        <v>462</v>
      </c>
      <c r="D6" s="33">
        <f>IF($C6="","",VLOOKUP($C6,CTBat!$G$10:$BR$208,D$4,FALSE))</f>
        <v>23</v>
      </c>
      <c r="E6" s="33" t="str">
        <f>IF($C6="","",VLOOKUP($C6,CTBat!$G$10:$BR$208,E$4,FALSE))</f>
        <v>R</v>
      </c>
      <c r="F6" s="52">
        <f>IF($C6="","",IF(AND(N6&gt;0,N6=SUM(M6:T6)),1,0))</f>
        <v>1</v>
      </c>
      <c r="G6" s="34">
        <f>IF($C6="","",IF(AND(OR(N6&gt;0,R6&gt;0),SUM(N6,R6)=SUM(M6:T6)),1,0))</f>
        <v>1</v>
      </c>
      <c r="H6" s="34">
        <f>IF($C6="","",IF(L6&gt;6,1,0))</f>
        <v>0</v>
      </c>
      <c r="I6" s="34">
        <f t="shared" ref="I6:I10" si="0">IF($C6="","",IF(AND(S6&gt;4,S6&lt;&gt;"-"),1,0))</f>
        <v>0</v>
      </c>
      <c r="J6" s="57">
        <f>IF($C6="","",VLOOKUP($C6,CTBat!$G$10:$BR$208,J$4,FALSE))</f>
        <v>1</v>
      </c>
      <c r="K6" s="33">
        <f>IF($C6="","",VLOOKUP($C6,CTBat!$G$10:$BR$208,K$4,FALSE))</f>
        <v>5</v>
      </c>
      <c r="L6" s="35">
        <f>IF($C6="","",VLOOKUP($C6,CTBat!$G$10:$BR$208,L$4,FALSE))</f>
        <v>3</v>
      </c>
      <c r="M6" s="33" t="str">
        <f>IF($C6="","",VLOOKUP($C6,CTBat!$G$10:$BR$208,M$4,FALSE))</f>
        <v>-</v>
      </c>
      <c r="N6" s="33">
        <f>IF($C6="","",VLOOKUP($C6,CTBat!$G$10:$BR$208,N$4,FALSE))</f>
        <v>7</v>
      </c>
      <c r="O6" s="33" t="str">
        <f>IF($C6="","",VLOOKUP($C6,CTBat!$G$10:$BR$208,O$4,FALSE))</f>
        <v>-</v>
      </c>
      <c r="P6" s="33" t="str">
        <f>IF($C6="","",VLOOKUP($C6,CTBat!$G$10:$BR$208,P$4,FALSE))</f>
        <v>-</v>
      </c>
      <c r="Q6" s="33" t="str">
        <f>IF($C6="","",VLOOKUP($C6,CTBat!$G$10:$BR$208,Q$4,FALSE))</f>
        <v>-</v>
      </c>
      <c r="R6" s="33" t="str">
        <f>IF($C6="","",VLOOKUP($C6,CTBat!$G$10:$BR$208,R$4,FALSE))</f>
        <v>-</v>
      </c>
      <c r="S6" s="33" t="str">
        <f>IF($C6="","",VLOOKUP($C6,CTBat!$G$10:$BR$208,S$4,FALSE))</f>
        <v>-</v>
      </c>
      <c r="T6" s="35" t="str">
        <f>IF($C6="","",VLOOKUP($C6,CTBat!$G$10:$BR$208,T$4,FALSE))</f>
        <v>-</v>
      </c>
      <c r="U6" s="53">
        <f t="shared" ref="U6:U17" si="1">IF($C6="","",IF(OR(AD6+AG6&gt;14,AND(OR(AD6+AG6&gt;12,AND(AD6&gt;6,AG6&gt;6)),AI6&gt;6,OR(AJ6&gt;=AI6,AJ6&gt;6))),1,0))</f>
        <v>1</v>
      </c>
      <c r="V6" s="288">
        <f t="shared" ref="V6:V17" si="2">IF($C6="","",IF(OR(AND(AD6&gt;6,AH6&gt;6),AD6+AG6&gt;12),1,0))</f>
        <v>1</v>
      </c>
      <c r="W6" s="34">
        <f>IF($C6="","",IF(AND(AD6&gt;6,AF6&gt;6,AG6&gt;6),1,0))</f>
        <v>0</v>
      </c>
      <c r="X6" s="34">
        <f>IF($C6="","",IF(AND(AF6&gt;7,OR(AD6&gt;6,AG6&gt;6)),1,0))</f>
        <v>0</v>
      </c>
      <c r="Y6" s="34">
        <f>IF($C6="","",IF(AND(AF6&gt;6,OR(AD6&gt;6,AG6&gt;6)),1,0))</f>
        <v>0</v>
      </c>
      <c r="Z6" s="34">
        <f>IF($C6="","",IF(AND(OR(AD6&gt;6,AF6&gt;6),OR(AD6&gt;6,AG6&gt;6)),1,0))</f>
        <v>1</v>
      </c>
      <c r="AA6" s="34">
        <f>IF($C6="","",IF(AND(AD6&gt;4,OR(AD6&gt;6,AF6&gt;6,AG6&gt;6)),1,0))</f>
        <v>1</v>
      </c>
      <c r="AB6" s="34">
        <f>IF($C6="","",IF(AND(AD6&gt;4,OR(AD6&gt;6,AE6&gt;6,AF6&gt;6,AG6&gt;6)),1,0))</f>
        <v>1</v>
      </c>
      <c r="AC6" s="61">
        <f>IF($C6="","",IF(AND(AD6&gt;4,MAX(AD6:AH6)&gt;6),1,0))</f>
        <v>1</v>
      </c>
      <c r="AD6" s="33">
        <f>IF($C6="","",VLOOKUP($C6,CTBat!$G$10:$BR$208,AD$4,FALSE))</f>
        <v>7</v>
      </c>
      <c r="AE6" s="33">
        <f>IF($C6="","",VLOOKUP($C6,CTBat!$G$10:$BR$208,AE$4,FALSE))</f>
        <v>6</v>
      </c>
      <c r="AF6" s="33">
        <f>IF($C6="","",VLOOKUP($C6,CTBat!$G$10:$BR$208,AF$4,FALSE))</f>
        <v>5</v>
      </c>
      <c r="AG6" s="33">
        <f>IF($C6="","",VLOOKUP($C6,CTBat!$G$10:$BR$208,AG$4,FALSE))</f>
        <v>8</v>
      </c>
      <c r="AH6" s="33">
        <f>IF($C6="","",VLOOKUP($C6,CTBat!$G$10:$BR$208,AH$4,FALSE))</f>
        <v>8</v>
      </c>
      <c r="AI6" s="57">
        <f>IF($C6="","",VLOOKUP($C6,CTBat!$G$10:$BR$208,AI$4,FALSE))</f>
        <v>5</v>
      </c>
      <c r="AJ6" s="35">
        <f>IF($C6="","",VLOOKUP($C6,CTBat!$G$10:$BR$208,AJ$4,FALSE))</f>
        <v>5</v>
      </c>
      <c r="AK6" s="67">
        <f>IF($C6="","",(5*AD6+4*AF6+3*AG6+2*AE6+1*AH6+0.5*(AVERAGE(AD6:AE6))+0.5*AVERAGE(AD6,AH6)+1*(AVERAGE(AD6,AF6))+1*AVERAGE(AD6,AG6))/(5+4+3+2+1+0.5+0.5+1+1))</f>
        <v>6.6388888888888893</v>
      </c>
      <c r="AL6" s="52">
        <f>IF($C6="","",IF(AND(OR(AU6+AX6&gt;12,AND(AU6&gt;6,AX6&gt;6)),AI6&gt;6,OR(AJ6&gt;=AI6,AJ6&gt;6)),1,0))</f>
        <v>0</v>
      </c>
      <c r="AM6" s="34">
        <f>IF($C6="","",IF(OR(AND(AU6&gt;6,AY6&gt;6),AU6+AX6&gt;12),1,0))</f>
        <v>1</v>
      </c>
      <c r="AN6" s="34">
        <f>IF($C6="","",IF(AND(AU6&gt;6,AW6&gt;6,AX6&gt;6),1,0))</f>
        <v>1</v>
      </c>
      <c r="AO6" s="34">
        <f>IF($C6="","",IF(AND(AW6&gt;7,OR(AU6&gt;6,AX6&gt;6)),1,0))</f>
        <v>1</v>
      </c>
      <c r="AP6" s="34">
        <f>IF($C6="","",IF(AND(AW6&gt;6,OR(AU6&gt;6,AX6&gt;6)),1,0))</f>
        <v>1</v>
      </c>
      <c r="AQ6" s="34">
        <f>IF($C6="","",IF(AND(OR(AU6&gt;6,AW6&gt;6),OR(AU6&gt;6,AX6&gt;6)),1,0))</f>
        <v>1</v>
      </c>
      <c r="AR6" s="34">
        <f>IF($C6="","",IF(AND(AU6&gt;4,OR(AU6&gt;6,AW6&gt;6,AX6&gt;6)),1,0))</f>
        <v>1</v>
      </c>
      <c r="AS6" s="34">
        <f>IF($C6="","",IF(AND(AU6&gt;4,OR(AU6&gt;6,AV6&gt;6,AW6&gt;6,AX6&gt;6)),1,0))</f>
        <v>1</v>
      </c>
      <c r="AT6" s="61">
        <f>IF($C6="","",IF(AND(AU6&gt;4,MAX(AU6:AY6)&gt;6),1,0))</f>
        <v>1</v>
      </c>
      <c r="AU6" s="57">
        <f>IF($C6="","",VLOOKUP($C6,CTBat!$G$10:$BR$208,AU$4,FALSE))</f>
        <v>8</v>
      </c>
      <c r="AV6" s="33">
        <f>IF($C6="","",VLOOKUP($C6,CTBat!$G$10:$BR$208,AV$4,FALSE))</f>
        <v>6</v>
      </c>
      <c r="AW6" s="33">
        <f>IF($C6="","",VLOOKUP($C6,CTBat!$G$10:$BR$208,AW$4,FALSE))</f>
        <v>8</v>
      </c>
      <c r="AX6" s="33">
        <f>IF($C6="","",VLOOKUP($C6,CTBat!$G$10:$BR$208,AX$4,FALSE))</f>
        <v>9</v>
      </c>
      <c r="AY6" s="35">
        <f>IF($C6="","",VLOOKUP($C6,CTBat!$G$10:$BR$208,AY$4,FALSE))</f>
        <v>9</v>
      </c>
      <c r="AZ6" s="67">
        <f>IF($C6="","",(5*AU6+4*AW6+3*AX6+2*AV6+1*AY6+0.5*(AVERAGE(AU6:AV6))+0.5*AVERAGE(AU6,AY6)+1*(AVERAGE(AU6,AW6))+1*AVERAGE(AU6,AX6))/(5+4+3+2+1+0.5+0.5+1+1))</f>
        <v>8.0138888888888893</v>
      </c>
    </row>
    <row r="7" spans="1:52">
      <c r="A7">
        <v>2</v>
      </c>
      <c r="B7" s="36" t="s">
        <v>101</v>
      </c>
      <c r="C7" s="37" t="s">
        <v>403</v>
      </c>
      <c r="D7" s="37">
        <f>IF($C7="","",VLOOKUP($C7,CTBat!$G$10:$BR$208,D$4,FALSE))</f>
        <v>24</v>
      </c>
      <c r="E7" s="37" t="str">
        <f>IF($C7="","",VLOOKUP($C7,CTBat!$G$10:$BR$208,E$4,FALSE))</f>
        <v>L</v>
      </c>
      <c r="F7" s="53">
        <f t="shared" ref="F7:F17" si="3">IF($C7="","",IF(AND(N7&gt;0,N7=SUM(M7:T7)),1,0))</f>
        <v>0</v>
      </c>
      <c r="G7" s="288">
        <f t="shared" ref="G7:G17" si="4">IF($C7="","",IF(AND(OR(N7&gt;0,R7&gt;0),SUM(N7,R7)=SUM(M7:T7)),1,0))</f>
        <v>0</v>
      </c>
      <c r="H7" s="288">
        <f t="shared" ref="H7:H17" si="5">IF($C7="","",IF(L7&gt;6,1,0))</f>
        <v>0</v>
      </c>
      <c r="I7" s="288">
        <f t="shared" si="0"/>
        <v>0</v>
      </c>
      <c r="J7" s="58">
        <f>IF($C7="","",VLOOKUP($C7,CTBat!$G$10:$BR$208,J$4,FALSE))</f>
        <v>1</v>
      </c>
      <c r="K7" s="37">
        <f>IF($C7="","",VLOOKUP($C7,CTBat!$G$10:$BR$208,K$4,FALSE))</f>
        <v>1</v>
      </c>
      <c r="L7" s="38">
        <f>IF($C7="","",VLOOKUP($C7,CTBat!$G$10:$BR$208,L$4,FALSE))</f>
        <v>5</v>
      </c>
      <c r="M7" s="37" t="str">
        <f>IF($C7="","",VLOOKUP($C7,CTBat!$G$10:$BR$208,M$4,FALSE))</f>
        <v>-</v>
      </c>
      <c r="N7" s="37" t="str">
        <f>IF($C7="","",VLOOKUP($C7,CTBat!$G$10:$BR$208,N$4,FALSE))</f>
        <v>-</v>
      </c>
      <c r="O7" s="37" t="str">
        <f>IF($C7="","",VLOOKUP($C7,CTBat!$G$10:$BR$208,O$4,FALSE))</f>
        <v>-</v>
      </c>
      <c r="P7" s="37" t="str">
        <f>IF($C7="","",VLOOKUP($C7,CTBat!$G$10:$BR$208,P$4,FALSE))</f>
        <v>-</v>
      </c>
      <c r="Q7" s="37" t="str">
        <f>IF($C7="","",VLOOKUP($C7,CTBat!$G$10:$BR$208,Q$4,FALSE))</f>
        <v>-</v>
      </c>
      <c r="R7" s="37">
        <f>IF($C7="","",VLOOKUP($C7,CTBat!$G$10:$BR$208,R$4,FALSE))</f>
        <v>7</v>
      </c>
      <c r="S7" s="37">
        <f>IF($C7="","",VLOOKUP($C7,CTBat!$G$10:$BR$208,S$4,FALSE))</f>
        <v>3</v>
      </c>
      <c r="T7" s="38">
        <f>IF($C7="","",VLOOKUP($C7,CTBat!$G$10:$BR$208,T$4,FALSE))</f>
        <v>3</v>
      </c>
      <c r="U7" s="53">
        <f t="shared" si="1"/>
        <v>0</v>
      </c>
      <c r="V7" s="288">
        <f t="shared" si="2"/>
        <v>0</v>
      </c>
      <c r="W7" s="288">
        <f t="shared" ref="W7:W17" si="6">IF($C7="","",IF(AND(AD7&gt;6,AF7&gt;6,AG7&gt;6),1,0))</f>
        <v>0</v>
      </c>
      <c r="X7" s="288">
        <f t="shared" ref="X7:X17" si="7">IF($C7="","",IF(AND(AF7&gt;7,OR(AD7&gt;6,AG7&gt;6)),1,0))</f>
        <v>0</v>
      </c>
      <c r="Y7" s="288">
        <f t="shared" ref="Y7:Y17" si="8">IF($C7="","",IF(AND(AF7&gt;6,OR(AD7&gt;6,AG7&gt;6)),1,0))</f>
        <v>0</v>
      </c>
      <c r="Z7" s="288">
        <f t="shared" ref="Z7:Z17" si="9">IF($C7="","",IF(AND(OR(AD7&gt;6,AF7&gt;6),OR(AD7&gt;6,AG7&gt;6)),1,0))</f>
        <v>1</v>
      </c>
      <c r="AA7" s="288">
        <f t="shared" ref="AA7:AA17" si="10">IF($C7="","",IF(AND(AD7&gt;4,OR(AD7&gt;6,AF7&gt;6,AG7&gt;6)),1,0))</f>
        <v>1</v>
      </c>
      <c r="AB7" s="288">
        <f t="shared" ref="AB7:AB17" si="11">IF($C7="","",IF(AND(AD7&gt;4,OR(AD7&gt;6,AE7&gt;6,AF7&gt;6,AG7&gt;6)),1,0))</f>
        <v>1</v>
      </c>
      <c r="AC7" s="289">
        <f t="shared" ref="AC7:AC17" si="12">IF($C7="","",IF(AND(AD7&gt;4,MAX(AD7:AH7)&gt;6),1,0))</f>
        <v>1</v>
      </c>
      <c r="AD7" s="37">
        <f>IF($C7="","",VLOOKUP($C7,CTBat!$G$10:$BR$208,AD$4,FALSE))</f>
        <v>7</v>
      </c>
      <c r="AE7" s="37">
        <f>IF($C7="","",VLOOKUP($C7,CTBat!$G$10:$BR$208,AE$4,FALSE))</f>
        <v>8</v>
      </c>
      <c r="AF7" s="37">
        <f>IF($C7="","",VLOOKUP($C7,CTBat!$G$10:$BR$208,AF$4,FALSE))</f>
        <v>4</v>
      </c>
      <c r="AG7" s="37">
        <f>IF($C7="","",VLOOKUP($C7,CTBat!$G$10:$BR$208,AG$4,FALSE))</f>
        <v>3</v>
      </c>
      <c r="AH7" s="37">
        <f>IF($C7="","",VLOOKUP($C7,CTBat!$G$10:$BR$208,AH$4,FALSE))</f>
        <v>5</v>
      </c>
      <c r="AI7" s="58">
        <f>IF($C7="","",VLOOKUP($C7,CTBat!$G$10:$BR$208,AI$4,FALSE))</f>
        <v>4</v>
      </c>
      <c r="AJ7" s="38">
        <f>IF($C7="","",VLOOKUP($C7,CTBat!$G$10:$BR$208,AJ$4,FALSE))</f>
        <v>6</v>
      </c>
      <c r="AK7" s="67">
        <f t="shared" ref="AK7:AK17" si="13">IF($C7="","",(5*AD7+4*AF7+3*AG7+2*AE7+1*AH7+0.5*(AVERAGE(AD7:AE7))+0.5*AVERAGE(AD7,AH7)+1*(AVERAGE(AD7,AF7))+1*AVERAGE(AD7,AG7))/(5+4+3+2+1+0.5+0.5+1+1))</f>
        <v>5.458333333333333</v>
      </c>
      <c r="AL7" s="53">
        <f t="shared" ref="AL7:AL17" si="14">IF($C7="","",IF(AND(OR(AU7+AX7&gt;12,AND(AU7&gt;6,AX7&gt;6)),AI7&gt;6,OR(AJ7&gt;=AI7,AJ7&gt;6)),1,0))</f>
        <v>0</v>
      </c>
      <c r="AM7" s="288">
        <f t="shared" ref="AM7:AM17" si="15">IF($C7="","",IF(OR(AND(AU7&gt;6,AY7&gt;6),AU7+AX7&gt;12),1,0))</f>
        <v>1</v>
      </c>
      <c r="AN7" s="288">
        <f t="shared" ref="AN7:AN17" si="16">IF($C7="","",IF(AND(AU7&gt;6,AW7&gt;6,AX7&gt;6),1,0))</f>
        <v>0</v>
      </c>
      <c r="AO7" s="288">
        <f t="shared" ref="AO7:AO17" si="17">IF($C7="","",IF(AND(AW7&gt;7,OR(AU7&gt;6,AX7&gt;6)),1,0))</f>
        <v>0</v>
      </c>
      <c r="AP7" s="288">
        <f t="shared" ref="AP7:AP17" si="18">IF($C7="","",IF(AND(AW7&gt;6,OR(AU7&gt;6,AX7&gt;6)),1,0))</f>
        <v>0</v>
      </c>
      <c r="AQ7" s="288">
        <f t="shared" ref="AQ7:AQ17" si="19">IF($C7="","",IF(AND(OR(AU7&gt;6,AW7&gt;6),OR(AU7&gt;6,AX7&gt;6)),1,0))</f>
        <v>1</v>
      </c>
      <c r="AR7" s="288">
        <f t="shared" ref="AR7:AR17" si="20">IF($C7="","",IF(AND(AU7&gt;4,OR(AU7&gt;6,AW7&gt;6,AX7&gt;6)),1,0))</f>
        <v>1</v>
      </c>
      <c r="AS7" s="288">
        <f t="shared" ref="AS7:AS17" si="21">IF($C7="","",IF(AND(AU7&gt;4,OR(AU7&gt;6,AV7&gt;6,AW7&gt;6,AX7&gt;6)),1,0))</f>
        <v>1</v>
      </c>
      <c r="AT7" s="289">
        <f t="shared" ref="AT7:AT17" si="22">IF($C7="","",IF(AND(AU7&gt;4,MAX(AU7:AY7)&gt;6),1,0))</f>
        <v>1</v>
      </c>
      <c r="AU7" s="58">
        <f>IF($C7="","",VLOOKUP($C7,CTBat!$G$10:$BR$208,AU$4,FALSE))</f>
        <v>8</v>
      </c>
      <c r="AV7" s="37">
        <f>IF($C7="","",VLOOKUP($C7,CTBat!$G$10:$BR$208,AV$4,FALSE))</f>
        <v>8</v>
      </c>
      <c r="AW7" s="37">
        <f>IF($C7="","",VLOOKUP($C7,CTBat!$G$10:$BR$208,AW$4,FALSE))</f>
        <v>5</v>
      </c>
      <c r="AX7" s="37">
        <f>IF($C7="","",VLOOKUP($C7,CTBat!$G$10:$BR$208,AX$4,FALSE))</f>
        <v>5</v>
      </c>
      <c r="AY7" s="38">
        <f>IF($C7="","",VLOOKUP($C7,CTBat!$G$10:$BR$208,AY$4,FALSE))</f>
        <v>6</v>
      </c>
      <c r="AZ7" s="67">
        <f t="shared" ref="AZ7:AZ17" si="23">IF($C7="","",(5*AU7+4*AW7+3*AX7+2*AV7+1*AY7+0.5*(AVERAGE(AU7:AV7))+0.5*AVERAGE(AU7,AY7)+1*(AVERAGE(AU7,AW7))+1*AVERAGE(AU7,AX7))/(5+4+3+2+1+0.5+0.5+1+1))</f>
        <v>6.5277777777777777</v>
      </c>
    </row>
    <row r="8" spans="1:52">
      <c r="A8">
        <v>3</v>
      </c>
      <c r="B8" s="36" t="s">
        <v>102</v>
      </c>
      <c r="C8" s="37" t="s">
        <v>396</v>
      </c>
      <c r="D8" s="37">
        <f>IF($C8="","",VLOOKUP($C8,CTBat!$G$10:$BR$208,D$4,FALSE))</f>
        <v>24</v>
      </c>
      <c r="E8" s="37" t="str">
        <f>IF($C8="","",VLOOKUP($C8,CTBat!$G$10:$BR$208,E$4,FALSE))</f>
        <v>R</v>
      </c>
      <c r="F8" s="53">
        <f t="shared" si="3"/>
        <v>0</v>
      </c>
      <c r="G8" s="288">
        <f t="shared" si="4"/>
        <v>0</v>
      </c>
      <c r="H8" s="288">
        <f t="shared" si="5"/>
        <v>1</v>
      </c>
      <c r="I8" s="288">
        <f t="shared" si="0"/>
        <v>1</v>
      </c>
      <c r="J8" s="58">
        <f>IF($C8="","",VLOOKUP($C8,CTBat!$G$10:$BR$208,J$4,FALSE))</f>
        <v>1</v>
      </c>
      <c r="K8" s="37">
        <f>IF($C8="","",VLOOKUP($C8,CTBat!$G$10:$BR$208,K$4,FALSE))</f>
        <v>1</v>
      </c>
      <c r="L8" s="38">
        <f>IF($C8="","",VLOOKUP($C8,CTBat!$G$10:$BR$208,L$4,FALSE))</f>
        <v>8</v>
      </c>
      <c r="M8" s="37" t="str">
        <f>IF($C8="","",VLOOKUP($C8,CTBat!$G$10:$BR$208,M$4,FALSE))</f>
        <v>-</v>
      </c>
      <c r="N8" s="37" t="str">
        <f>IF($C8="","",VLOOKUP($C8,CTBat!$G$10:$BR$208,N$4,FALSE))</f>
        <v>-</v>
      </c>
      <c r="O8" s="37" t="str">
        <f>IF($C8="","",VLOOKUP($C8,CTBat!$G$10:$BR$208,O$4,FALSE))</f>
        <v>-</v>
      </c>
      <c r="P8" s="37" t="str">
        <f>IF($C8="","",VLOOKUP($C8,CTBat!$G$10:$BR$208,P$4,FALSE))</f>
        <v>-</v>
      </c>
      <c r="Q8" s="37" t="str">
        <f>IF($C8="","",VLOOKUP($C8,CTBat!$G$10:$BR$208,Q$4,FALSE))</f>
        <v>-</v>
      </c>
      <c r="R8" s="37">
        <f>IF($C8="","",VLOOKUP($C8,CTBat!$G$10:$BR$208,R$4,FALSE))</f>
        <v>10</v>
      </c>
      <c r="S8" s="37">
        <f>IF($C8="","",VLOOKUP($C8,CTBat!$G$10:$BR$208,S$4,FALSE))</f>
        <v>7</v>
      </c>
      <c r="T8" s="38">
        <f>IF($C8="","",VLOOKUP($C8,CTBat!$G$10:$BR$208,T$4,FALSE))</f>
        <v>8</v>
      </c>
      <c r="U8" s="53">
        <f t="shared" si="1"/>
        <v>0</v>
      </c>
      <c r="V8" s="288">
        <f t="shared" si="2"/>
        <v>0</v>
      </c>
      <c r="W8" s="288">
        <f t="shared" si="6"/>
        <v>0</v>
      </c>
      <c r="X8" s="288">
        <f t="shared" si="7"/>
        <v>0</v>
      </c>
      <c r="Y8" s="288">
        <f t="shared" si="8"/>
        <v>0</v>
      </c>
      <c r="Z8" s="288">
        <f t="shared" si="9"/>
        <v>0</v>
      </c>
      <c r="AA8" s="288">
        <f t="shared" si="10"/>
        <v>0</v>
      </c>
      <c r="AB8" s="288">
        <f t="shared" si="11"/>
        <v>0</v>
      </c>
      <c r="AC8" s="289">
        <f t="shared" si="12"/>
        <v>0</v>
      </c>
      <c r="AD8" s="37">
        <f>IF($C8="","",VLOOKUP($C8,CTBat!$G$10:$BR$208,AD$4,FALSE))</f>
        <v>5</v>
      </c>
      <c r="AE8" s="37">
        <f>IF($C8="","",VLOOKUP($C8,CTBat!$G$10:$BR$208,AE$4,FALSE))</f>
        <v>4</v>
      </c>
      <c r="AF8" s="37">
        <f>IF($C8="","",VLOOKUP($C8,CTBat!$G$10:$BR$208,AF$4,FALSE))</f>
        <v>6</v>
      </c>
      <c r="AG8" s="37">
        <f>IF($C8="","",VLOOKUP($C8,CTBat!$G$10:$BR$208,AG$4,FALSE))</f>
        <v>4</v>
      </c>
      <c r="AH8" s="37">
        <f>IF($C8="","",VLOOKUP($C8,CTBat!$G$10:$BR$208,AH$4,FALSE))</f>
        <v>3</v>
      </c>
      <c r="AI8" s="58">
        <f>IF($C8="","",VLOOKUP($C8,CTBat!$G$10:$BR$208,AI$4,FALSE))</f>
        <v>9</v>
      </c>
      <c r="AJ8" s="38">
        <f>IF($C8="","",VLOOKUP($C8,CTBat!$G$10:$BR$208,AJ$4,FALSE))</f>
        <v>9</v>
      </c>
      <c r="AK8" s="67">
        <f t="shared" si="13"/>
        <v>4.791666666666667</v>
      </c>
      <c r="AL8" s="53">
        <f t="shared" si="14"/>
        <v>0</v>
      </c>
      <c r="AM8" s="288">
        <f t="shared" si="15"/>
        <v>0</v>
      </c>
      <c r="AN8" s="288">
        <f t="shared" si="16"/>
        <v>0</v>
      </c>
      <c r="AO8" s="288">
        <f t="shared" si="17"/>
        <v>0</v>
      </c>
      <c r="AP8" s="288">
        <f t="shared" si="18"/>
        <v>0</v>
      </c>
      <c r="AQ8" s="288">
        <f t="shared" si="19"/>
        <v>0</v>
      </c>
      <c r="AR8" s="288">
        <f t="shared" si="20"/>
        <v>1</v>
      </c>
      <c r="AS8" s="288">
        <f t="shared" si="21"/>
        <v>1</v>
      </c>
      <c r="AT8" s="289">
        <f t="shared" si="22"/>
        <v>1</v>
      </c>
      <c r="AU8" s="58">
        <f>IF($C8="","",VLOOKUP($C8,CTBat!$G$10:$BR$208,AU$4,FALSE))</f>
        <v>5</v>
      </c>
      <c r="AV8" s="37">
        <f>IF($C8="","",VLOOKUP($C8,CTBat!$G$10:$BR$208,AV$4,FALSE))</f>
        <v>5</v>
      </c>
      <c r="AW8" s="37">
        <f>IF($C8="","",VLOOKUP($C8,CTBat!$G$10:$BR$208,AW$4,FALSE))</f>
        <v>8</v>
      </c>
      <c r="AX8" s="37">
        <f>IF($C8="","",VLOOKUP($C8,CTBat!$G$10:$BR$208,AX$4,FALSE))</f>
        <v>6</v>
      </c>
      <c r="AY8" s="38">
        <f>IF($C8="","",VLOOKUP($C8,CTBat!$G$10:$BR$208,AY$4,FALSE))</f>
        <v>4</v>
      </c>
      <c r="AZ8" s="67">
        <f t="shared" si="23"/>
        <v>5.875</v>
      </c>
    </row>
    <row r="9" spans="1:52">
      <c r="A9">
        <v>4</v>
      </c>
      <c r="B9" s="36" t="s">
        <v>103</v>
      </c>
      <c r="C9" s="65" t="s">
        <v>248</v>
      </c>
      <c r="D9" s="37">
        <f>IF($C9="","",VLOOKUP($C9,CTBat!$G$10:$BR$208,D$4,FALSE))</f>
        <v>26</v>
      </c>
      <c r="E9" s="37" t="str">
        <f>IF($C9="","",VLOOKUP($C9,CTBat!$G$10:$BR$208,E$4,FALSE))</f>
        <v>L</v>
      </c>
      <c r="F9" s="53">
        <f t="shared" si="3"/>
        <v>0</v>
      </c>
      <c r="G9" s="288">
        <f t="shared" si="4"/>
        <v>0</v>
      </c>
      <c r="H9" s="288">
        <f t="shared" si="5"/>
        <v>0</v>
      </c>
      <c r="I9" s="288">
        <f t="shared" si="0"/>
        <v>0</v>
      </c>
      <c r="J9" s="58">
        <f>IF($C9="","",VLOOKUP($C9,CTBat!$G$10:$BR$208,J$4,FALSE))</f>
        <v>1</v>
      </c>
      <c r="K9" s="37">
        <f>IF($C9="","",VLOOKUP($C9,CTBat!$G$10:$BR$208,K$4,FALSE))</f>
        <v>1</v>
      </c>
      <c r="L9" s="38">
        <f>IF($C9="","",VLOOKUP($C9,CTBat!$G$10:$BR$208,L$4,FALSE))</f>
        <v>6</v>
      </c>
      <c r="M9" s="37" t="str">
        <f>IF($C9="","",VLOOKUP($C9,CTBat!$G$10:$BR$208,M$4,FALSE))</f>
        <v>-</v>
      </c>
      <c r="N9" s="37" t="str">
        <f>IF($C9="","",VLOOKUP($C9,CTBat!$G$10:$BR$208,N$4,FALSE))</f>
        <v>-</v>
      </c>
      <c r="O9" s="37" t="str">
        <f>IF($C9="","",VLOOKUP($C9,CTBat!$G$10:$BR$208,O$4,FALSE))</f>
        <v>-</v>
      </c>
      <c r="P9" s="37" t="str">
        <f>IF($C9="","",VLOOKUP($C9,CTBat!$G$10:$BR$208,P$4,FALSE))</f>
        <v>-</v>
      </c>
      <c r="Q9" s="37" t="str">
        <f>IF($C9="","",VLOOKUP($C9,CTBat!$G$10:$BR$208,Q$4,FALSE))</f>
        <v>-</v>
      </c>
      <c r="R9" s="37">
        <f>IF($C9="","",VLOOKUP($C9,CTBat!$G$10:$BR$208,R$4,FALSE))</f>
        <v>8</v>
      </c>
      <c r="S9" s="37">
        <f>IF($C9="","",VLOOKUP($C9,CTBat!$G$10:$BR$208,S$4,FALSE))</f>
        <v>4</v>
      </c>
      <c r="T9" s="38">
        <f>IF($C9="","",VLOOKUP($C9,CTBat!$G$10:$BR$208,T$4,FALSE))</f>
        <v>5</v>
      </c>
      <c r="U9" s="53">
        <f t="shared" si="1"/>
        <v>0</v>
      </c>
      <c r="V9" s="288">
        <f t="shared" si="2"/>
        <v>1</v>
      </c>
      <c r="W9" s="288">
        <f t="shared" si="6"/>
        <v>0</v>
      </c>
      <c r="X9" s="288">
        <f t="shared" si="7"/>
        <v>0</v>
      </c>
      <c r="Y9" s="288">
        <f t="shared" si="8"/>
        <v>0</v>
      </c>
      <c r="Z9" s="288">
        <f t="shared" si="9"/>
        <v>0</v>
      </c>
      <c r="AA9" s="288">
        <f t="shared" si="10"/>
        <v>1</v>
      </c>
      <c r="AB9" s="288">
        <f t="shared" si="11"/>
        <v>1</v>
      </c>
      <c r="AC9" s="289">
        <f t="shared" si="12"/>
        <v>1</v>
      </c>
      <c r="AD9" s="37">
        <f>IF($C9="","",VLOOKUP($C9,CTBat!$G$10:$BR$208,AD$4,FALSE))</f>
        <v>6</v>
      </c>
      <c r="AE9" s="37">
        <f>IF($C9="","",VLOOKUP($C9,CTBat!$G$10:$BR$208,AE$4,FALSE))</f>
        <v>5</v>
      </c>
      <c r="AF9" s="37">
        <f>IF($C9="","",VLOOKUP($C9,CTBat!$G$10:$BR$208,AF$4,FALSE))</f>
        <v>6</v>
      </c>
      <c r="AG9" s="37">
        <f>IF($C9="","",VLOOKUP($C9,CTBat!$G$10:$BR$208,AG$4,FALSE))</f>
        <v>7</v>
      </c>
      <c r="AH9" s="37">
        <f>IF($C9="","",VLOOKUP($C9,CTBat!$G$10:$BR$208,AH$4,FALSE))</f>
        <v>5</v>
      </c>
      <c r="AI9" s="58">
        <f>IF($C9="","",VLOOKUP($C9,CTBat!$G$10:$BR$208,AI$4,FALSE))</f>
        <v>6</v>
      </c>
      <c r="AJ9" s="38">
        <f>IF($C9="","",VLOOKUP($C9,CTBat!$G$10:$BR$208,AJ$4,FALSE))</f>
        <v>8</v>
      </c>
      <c r="AK9" s="67">
        <f t="shared" si="13"/>
        <v>6</v>
      </c>
      <c r="AL9" s="53">
        <f t="shared" si="14"/>
        <v>0</v>
      </c>
      <c r="AM9" s="288">
        <f t="shared" si="15"/>
        <v>1</v>
      </c>
      <c r="AN9" s="288">
        <f t="shared" si="16"/>
        <v>0</v>
      </c>
      <c r="AO9" s="288">
        <f t="shared" si="17"/>
        <v>0</v>
      </c>
      <c r="AP9" s="288">
        <f t="shared" si="18"/>
        <v>0</v>
      </c>
      <c r="AQ9" s="288">
        <f t="shared" si="19"/>
        <v>0</v>
      </c>
      <c r="AR9" s="288">
        <f t="shared" si="20"/>
        <v>1</v>
      </c>
      <c r="AS9" s="288">
        <f t="shared" si="21"/>
        <v>1</v>
      </c>
      <c r="AT9" s="289">
        <f t="shared" si="22"/>
        <v>1</v>
      </c>
      <c r="AU9" s="58">
        <f>IF($C9="","",VLOOKUP($C9,CTBat!$G$10:$BR$208,AU$4,FALSE))</f>
        <v>6</v>
      </c>
      <c r="AV9" s="37">
        <f>IF($C9="","",VLOOKUP($C9,CTBat!$G$10:$BR$208,AV$4,FALSE))</f>
        <v>5</v>
      </c>
      <c r="AW9" s="37">
        <f>IF($C9="","",VLOOKUP($C9,CTBat!$G$10:$BR$208,AW$4,FALSE))</f>
        <v>6</v>
      </c>
      <c r="AX9" s="37">
        <f>IF($C9="","",VLOOKUP($C9,CTBat!$G$10:$BR$208,AX$4,FALSE))</f>
        <v>7</v>
      </c>
      <c r="AY9" s="38">
        <f>IF($C9="","",VLOOKUP($C9,CTBat!$G$10:$BR$208,AY$4,FALSE))</f>
        <v>6</v>
      </c>
      <c r="AZ9" s="67">
        <f t="shared" si="23"/>
        <v>6.0694444444444446</v>
      </c>
    </row>
    <row r="10" spans="1:52">
      <c r="A10">
        <v>5</v>
      </c>
      <c r="B10" s="36" t="s">
        <v>18</v>
      </c>
      <c r="C10" s="65" t="s">
        <v>472</v>
      </c>
      <c r="D10" s="37">
        <f>IF($C10="","",VLOOKUP($C10,CTBat!$G$10:$BR$208,D$4,FALSE))</f>
        <v>28</v>
      </c>
      <c r="E10" s="37" t="str">
        <f>IF($C10="","",VLOOKUP($C10,CTBat!$G$10:$BR$208,E$4,FALSE))</f>
        <v>R</v>
      </c>
      <c r="F10" s="53">
        <f t="shared" si="3"/>
        <v>1</v>
      </c>
      <c r="G10" s="288">
        <f t="shared" si="4"/>
        <v>1</v>
      </c>
      <c r="H10" s="288">
        <f t="shared" si="5"/>
        <v>0</v>
      </c>
      <c r="I10" s="288">
        <f t="shared" si="0"/>
        <v>0</v>
      </c>
      <c r="J10" s="58">
        <f>IF($C10="","",VLOOKUP($C10,CTBat!$G$10:$BR$208,J$4,FALSE))</f>
        <v>1</v>
      </c>
      <c r="K10" s="37">
        <f>IF($C10="","",VLOOKUP($C10,CTBat!$G$10:$BR$208,K$4,FALSE))</f>
        <v>3</v>
      </c>
      <c r="L10" s="38">
        <f>IF($C10="","",VLOOKUP($C10,CTBat!$G$10:$BR$208,L$4,FALSE))</f>
        <v>3</v>
      </c>
      <c r="M10" s="37" t="str">
        <f>IF($C10="","",VLOOKUP($C10,CTBat!$G$10:$BR$208,M$4,FALSE))</f>
        <v>-</v>
      </c>
      <c r="N10" s="37">
        <f>IF($C10="","",VLOOKUP($C10,CTBat!$G$10:$BR$208,N$4,FALSE))</f>
        <v>6</v>
      </c>
      <c r="O10" s="37" t="str">
        <f>IF($C10="","",VLOOKUP($C10,CTBat!$G$10:$BR$208,O$4,FALSE))</f>
        <v>-</v>
      </c>
      <c r="P10" s="37" t="str">
        <f>IF($C10="","",VLOOKUP($C10,CTBat!$G$10:$BR$208,P$4,FALSE))</f>
        <v>-</v>
      </c>
      <c r="Q10" s="37" t="str">
        <f>IF($C10="","",VLOOKUP($C10,CTBat!$G$10:$BR$208,Q$4,FALSE))</f>
        <v>-</v>
      </c>
      <c r="R10" s="37" t="str">
        <f>IF($C10="","",VLOOKUP($C10,CTBat!$G$10:$BR$208,R$4,FALSE))</f>
        <v>-</v>
      </c>
      <c r="S10" s="37" t="str">
        <f>IF($C10="","",VLOOKUP($C10,CTBat!$G$10:$BR$208,S$4,FALSE))</f>
        <v>-</v>
      </c>
      <c r="T10" s="38" t="str">
        <f>IF($C10="","",VLOOKUP($C10,CTBat!$G$10:$BR$208,T$4,FALSE))</f>
        <v>-</v>
      </c>
      <c r="U10" s="53">
        <f t="shared" si="1"/>
        <v>0</v>
      </c>
      <c r="V10" s="288">
        <f t="shared" si="2"/>
        <v>0</v>
      </c>
      <c r="W10" s="288">
        <f t="shared" si="6"/>
        <v>0</v>
      </c>
      <c r="X10" s="288">
        <f t="shared" si="7"/>
        <v>0</v>
      </c>
      <c r="Y10" s="288">
        <f t="shared" si="8"/>
        <v>0</v>
      </c>
      <c r="Z10" s="288">
        <f t="shared" si="9"/>
        <v>0</v>
      </c>
      <c r="AA10" s="288">
        <f t="shared" si="10"/>
        <v>1</v>
      </c>
      <c r="AB10" s="288">
        <f t="shared" si="11"/>
        <v>1</v>
      </c>
      <c r="AC10" s="289">
        <f t="shared" si="12"/>
        <v>1</v>
      </c>
      <c r="AD10" s="37">
        <f>IF($C10="","",VLOOKUP($C10,CTBat!$G$10:$BR$208,AD$4,FALSE))</f>
        <v>5</v>
      </c>
      <c r="AE10" s="37">
        <f>IF($C10="","",VLOOKUP($C10,CTBat!$G$10:$BR$208,AE$4,FALSE))</f>
        <v>9</v>
      </c>
      <c r="AF10" s="37">
        <f>IF($C10="","",VLOOKUP($C10,CTBat!$G$10:$BR$208,AF$4,FALSE))</f>
        <v>9</v>
      </c>
      <c r="AG10" s="37">
        <f>IF($C10="","",VLOOKUP($C10,CTBat!$G$10:$BR$208,AG$4,FALSE))</f>
        <v>6</v>
      </c>
      <c r="AH10" s="37">
        <f>IF($C10="","",VLOOKUP($C10,CTBat!$G$10:$BR$208,AH$4,FALSE))</f>
        <v>3</v>
      </c>
      <c r="AI10" s="58">
        <f>IF($C10="","",VLOOKUP($C10,CTBat!$G$10:$BR$208,AI$4,FALSE))</f>
        <v>1</v>
      </c>
      <c r="AJ10" s="38">
        <f>IF($C10="","",VLOOKUP($C10,CTBat!$G$10:$BR$208,AJ$4,FALSE))</f>
        <v>3</v>
      </c>
      <c r="AK10" s="67">
        <f t="shared" si="13"/>
        <v>6.5555555555555554</v>
      </c>
      <c r="AL10" s="53">
        <f t="shared" si="14"/>
        <v>0</v>
      </c>
      <c r="AM10" s="288">
        <f t="shared" si="15"/>
        <v>0</v>
      </c>
      <c r="AN10" s="288">
        <f t="shared" si="16"/>
        <v>0</v>
      </c>
      <c r="AO10" s="288">
        <f t="shared" si="17"/>
        <v>0</v>
      </c>
      <c r="AP10" s="288">
        <f t="shared" si="18"/>
        <v>0</v>
      </c>
      <c r="AQ10" s="288">
        <f t="shared" si="19"/>
        <v>0</v>
      </c>
      <c r="AR10" s="288">
        <f t="shared" si="20"/>
        <v>1</v>
      </c>
      <c r="AS10" s="288">
        <f t="shared" si="21"/>
        <v>1</v>
      </c>
      <c r="AT10" s="289">
        <f t="shared" si="22"/>
        <v>1</v>
      </c>
      <c r="AU10" s="58">
        <f>IF($C10="","",VLOOKUP($C10,CTBat!$G$10:$BR$208,AU$4,FALSE))</f>
        <v>5</v>
      </c>
      <c r="AV10" s="37">
        <f>IF($C10="","",VLOOKUP($C10,CTBat!$G$10:$BR$208,AV$4,FALSE))</f>
        <v>9</v>
      </c>
      <c r="AW10" s="37">
        <f>IF($C10="","",VLOOKUP($C10,CTBat!$G$10:$BR$208,AW$4,FALSE))</f>
        <v>9</v>
      </c>
      <c r="AX10" s="37">
        <f>IF($C10="","",VLOOKUP($C10,CTBat!$G$10:$BR$208,AX$4,FALSE))</f>
        <v>6</v>
      </c>
      <c r="AY10" s="38">
        <f>IF($C10="","",VLOOKUP($C10,CTBat!$G$10:$BR$208,AY$4,FALSE))</f>
        <v>3</v>
      </c>
      <c r="AZ10" s="67">
        <f t="shared" si="23"/>
        <v>6.5555555555555554</v>
      </c>
    </row>
    <row r="11" spans="1:52">
      <c r="A11">
        <v>6</v>
      </c>
      <c r="B11" s="36" t="s">
        <v>104</v>
      </c>
      <c r="C11" s="65" t="s">
        <v>566</v>
      </c>
      <c r="D11" s="37">
        <f>IF($C11="","",VLOOKUP($C11,CTBat!$G$10:$BR$208,D$4,FALSE))</f>
        <v>31</v>
      </c>
      <c r="E11" s="37" t="str">
        <f>IF($C11="","",VLOOKUP($C11,CTBat!$G$10:$BR$208,E$4,FALSE))</f>
        <v>L</v>
      </c>
      <c r="F11" s="53">
        <f t="shared" si="3"/>
        <v>0</v>
      </c>
      <c r="G11" s="288">
        <f t="shared" si="4"/>
        <v>0</v>
      </c>
      <c r="H11" s="288">
        <f t="shared" si="5"/>
        <v>0</v>
      </c>
      <c r="I11" s="288">
        <f>IF($C11="","",IF(AND(S11&gt;4,S11&lt;&gt;"-"),1,0))</f>
        <v>1</v>
      </c>
      <c r="J11" s="58">
        <f>IF($C11="","",VLOOKUP($C11,CTBat!$G$10:$BR$208,J$4,FALSE))</f>
        <v>1</v>
      </c>
      <c r="K11" s="37">
        <f>IF($C11="","",VLOOKUP($C11,CTBat!$G$10:$BR$208,K$4,FALSE))</f>
        <v>1</v>
      </c>
      <c r="L11" s="38">
        <f>IF($C11="","",VLOOKUP($C11,CTBat!$G$10:$BR$208,L$4,FALSE))</f>
        <v>5</v>
      </c>
      <c r="M11" s="37" t="str">
        <f>IF($C11="","",VLOOKUP($C11,CTBat!$G$10:$BR$208,M$4,FALSE))</f>
        <v>-</v>
      </c>
      <c r="N11" s="37" t="str">
        <f>IF($C11="","",VLOOKUP($C11,CTBat!$G$10:$BR$208,N$4,FALSE))</f>
        <v>-</v>
      </c>
      <c r="O11" s="37" t="str">
        <f>IF($C11="","",VLOOKUP($C11,CTBat!$G$10:$BR$208,O$4,FALSE))</f>
        <v>-</v>
      </c>
      <c r="P11" s="37" t="str">
        <f>IF($C11="","",VLOOKUP($C11,CTBat!$G$10:$BR$208,P$4,FALSE))</f>
        <v>-</v>
      </c>
      <c r="Q11" s="37" t="str">
        <f>IF($C11="","",VLOOKUP($C11,CTBat!$G$10:$BR$208,Q$4,FALSE))</f>
        <v>-</v>
      </c>
      <c r="R11" s="37">
        <f>IF($C11="","",VLOOKUP($C11,CTBat!$G$10:$BR$208,R$4,FALSE))</f>
        <v>7</v>
      </c>
      <c r="S11" s="37">
        <f>IF($C11="","",VLOOKUP($C11,CTBat!$G$10:$BR$208,S$4,FALSE))</f>
        <v>8</v>
      </c>
      <c r="T11" s="38">
        <f>IF($C11="","",VLOOKUP($C11,CTBat!$G$10:$BR$208,T$4,FALSE))</f>
        <v>10</v>
      </c>
      <c r="U11" s="53">
        <f t="shared" si="1"/>
        <v>0</v>
      </c>
      <c r="V11" s="288">
        <f t="shared" si="2"/>
        <v>1</v>
      </c>
      <c r="W11" s="288">
        <f t="shared" si="6"/>
        <v>0</v>
      </c>
      <c r="X11" s="288">
        <f t="shared" si="7"/>
        <v>0</v>
      </c>
      <c r="Y11" s="288">
        <f t="shared" si="8"/>
        <v>0</v>
      </c>
      <c r="Z11" s="288">
        <f t="shared" si="9"/>
        <v>1</v>
      </c>
      <c r="AA11" s="288">
        <f t="shared" si="10"/>
        <v>1</v>
      </c>
      <c r="AB11" s="288">
        <f t="shared" si="11"/>
        <v>1</v>
      </c>
      <c r="AC11" s="289">
        <f t="shared" si="12"/>
        <v>1</v>
      </c>
      <c r="AD11" s="37">
        <f>IF($C11="","",VLOOKUP($C11,CTBat!$G$10:$BR$208,AD$4,FALSE))</f>
        <v>7</v>
      </c>
      <c r="AE11" s="37">
        <f>IF($C11="","",VLOOKUP($C11,CTBat!$G$10:$BR$208,AE$4,FALSE))</f>
        <v>5</v>
      </c>
      <c r="AF11" s="37">
        <f>IF($C11="","",VLOOKUP($C11,CTBat!$G$10:$BR$208,AF$4,FALSE))</f>
        <v>1</v>
      </c>
      <c r="AG11" s="37">
        <f>IF($C11="","",VLOOKUP($C11,CTBat!$G$10:$BR$208,AG$4,FALSE))</f>
        <v>5</v>
      </c>
      <c r="AH11" s="37">
        <f>IF($C11="","",VLOOKUP($C11,CTBat!$G$10:$BR$208,AH$4,FALSE))</f>
        <v>10</v>
      </c>
      <c r="AI11" s="58">
        <f>IF($C11="","",VLOOKUP($C11,CTBat!$G$10:$BR$208,AI$4,FALSE))</f>
        <v>9</v>
      </c>
      <c r="AJ11" s="38">
        <f>IF($C11="","",VLOOKUP($C11,CTBat!$G$10:$BR$208,AJ$4,FALSE))</f>
        <v>10</v>
      </c>
      <c r="AK11" s="67">
        <f t="shared" si="13"/>
        <v>5.0694444444444446</v>
      </c>
      <c r="AL11" s="53">
        <f t="shared" si="14"/>
        <v>0</v>
      </c>
      <c r="AM11" s="288">
        <f t="shared" si="15"/>
        <v>1</v>
      </c>
      <c r="AN11" s="288">
        <f t="shared" si="16"/>
        <v>0</v>
      </c>
      <c r="AO11" s="288">
        <f t="shared" si="17"/>
        <v>0</v>
      </c>
      <c r="AP11" s="288">
        <f t="shared" si="18"/>
        <v>0</v>
      </c>
      <c r="AQ11" s="288">
        <f t="shared" si="19"/>
        <v>1</v>
      </c>
      <c r="AR11" s="288">
        <f t="shared" si="20"/>
        <v>1</v>
      </c>
      <c r="AS11" s="288">
        <f t="shared" si="21"/>
        <v>1</v>
      </c>
      <c r="AT11" s="289">
        <f t="shared" si="22"/>
        <v>1</v>
      </c>
      <c r="AU11" s="58">
        <f>IF($C11="","",VLOOKUP($C11,CTBat!$G$10:$BR$208,AU$4,FALSE))</f>
        <v>7</v>
      </c>
      <c r="AV11" s="37">
        <f>IF($C11="","",VLOOKUP($C11,CTBat!$G$10:$BR$208,AV$4,FALSE))</f>
        <v>5</v>
      </c>
      <c r="AW11" s="37">
        <f>IF($C11="","",VLOOKUP($C11,CTBat!$G$10:$BR$208,AW$4,FALSE))</f>
        <v>1</v>
      </c>
      <c r="AX11" s="37">
        <f>IF($C11="","",VLOOKUP($C11,CTBat!$G$10:$BR$208,AX$4,FALSE))</f>
        <v>5</v>
      </c>
      <c r="AY11" s="38">
        <f>IF($C11="","",VLOOKUP($C11,CTBat!$G$10:$BR$208,AY$4,FALSE))</f>
        <v>10</v>
      </c>
      <c r="AZ11" s="67">
        <f t="shared" si="23"/>
        <v>5.0694444444444446</v>
      </c>
    </row>
    <row r="12" spans="1:52">
      <c r="A12">
        <v>7</v>
      </c>
      <c r="B12" s="36" t="s">
        <v>104</v>
      </c>
      <c r="C12" s="65"/>
      <c r="D12" s="37" t="str">
        <f>IF($C12="","",VLOOKUP($C12,CTBat!$G$10:$BR$208,D$4,FALSE))</f>
        <v/>
      </c>
      <c r="E12" s="37" t="str">
        <f>IF($C12="","",VLOOKUP($C12,CTBat!$G$10:$BR$208,E$4,FALSE))</f>
        <v/>
      </c>
      <c r="F12" s="53" t="str">
        <f t="shared" si="3"/>
        <v/>
      </c>
      <c r="G12" s="288" t="str">
        <f t="shared" si="4"/>
        <v/>
      </c>
      <c r="H12" s="288" t="str">
        <f t="shared" si="5"/>
        <v/>
      </c>
      <c r="I12" s="288" t="str">
        <f t="shared" ref="I12:I17" si="24">IF($C12="","",IF(AND(S12&gt;4,S12&lt;&gt;"-"),1,0))</f>
        <v/>
      </c>
      <c r="J12" s="58" t="str">
        <f>IF($C12="","",VLOOKUP($C12,CTBat!$G$10:$BR$208,J$4,FALSE))</f>
        <v/>
      </c>
      <c r="K12" s="37" t="str">
        <f>IF($C12="","",VLOOKUP($C12,CTBat!$G$10:$BR$208,K$4,FALSE))</f>
        <v/>
      </c>
      <c r="L12" s="38" t="str">
        <f>IF($C12="","",VLOOKUP($C12,CTBat!$G$10:$BR$208,L$4,FALSE))</f>
        <v/>
      </c>
      <c r="M12" s="37" t="str">
        <f>IF($C12="","",VLOOKUP($C12,CTBat!$G$10:$BR$208,M$4,FALSE))</f>
        <v/>
      </c>
      <c r="N12" s="37" t="str">
        <f>IF($C12="","",VLOOKUP($C12,CTBat!$G$10:$BR$208,N$4,FALSE))</f>
        <v/>
      </c>
      <c r="O12" s="37" t="str">
        <f>IF($C12="","",VLOOKUP($C12,CTBat!$G$10:$BR$208,O$4,FALSE))</f>
        <v/>
      </c>
      <c r="P12" s="37" t="str">
        <f>IF($C12="","",VLOOKUP($C12,CTBat!$G$10:$BR$208,P$4,FALSE))</f>
        <v/>
      </c>
      <c r="Q12" s="37" t="str">
        <f>IF($C12="","",VLOOKUP($C12,CTBat!$G$10:$BR$208,Q$4,FALSE))</f>
        <v/>
      </c>
      <c r="R12" s="37" t="str">
        <f>IF($C12="","",VLOOKUP($C12,CTBat!$G$10:$BR$208,R$4,FALSE))</f>
        <v/>
      </c>
      <c r="S12" s="37" t="str">
        <f>IF($C12="","",VLOOKUP($C12,CTBat!$G$10:$BR$208,S$4,FALSE))</f>
        <v/>
      </c>
      <c r="T12" s="38" t="str">
        <f>IF($C12="","",VLOOKUP($C12,CTBat!$G$10:$BR$208,T$4,FALSE))</f>
        <v/>
      </c>
      <c r="U12" s="53" t="str">
        <f t="shared" si="1"/>
        <v/>
      </c>
      <c r="V12" s="288" t="str">
        <f t="shared" si="2"/>
        <v/>
      </c>
      <c r="W12" s="288" t="str">
        <f t="shared" si="6"/>
        <v/>
      </c>
      <c r="X12" s="288" t="str">
        <f t="shared" si="7"/>
        <v/>
      </c>
      <c r="Y12" s="288" t="str">
        <f t="shared" si="8"/>
        <v/>
      </c>
      <c r="Z12" s="288" t="str">
        <f t="shared" si="9"/>
        <v/>
      </c>
      <c r="AA12" s="288" t="str">
        <f t="shared" si="10"/>
        <v/>
      </c>
      <c r="AB12" s="288" t="str">
        <f t="shared" si="11"/>
        <v/>
      </c>
      <c r="AC12" s="289" t="str">
        <f t="shared" si="12"/>
        <v/>
      </c>
      <c r="AD12" s="37" t="str">
        <f>IF($C12="","",VLOOKUP($C12,CTBat!$G$10:$BR$208,AD$4,FALSE))</f>
        <v/>
      </c>
      <c r="AE12" s="37" t="str">
        <f>IF($C12="","",VLOOKUP($C12,CTBat!$G$10:$BR$208,AE$4,FALSE))</f>
        <v/>
      </c>
      <c r="AF12" s="37" t="str">
        <f>IF($C12="","",VLOOKUP($C12,CTBat!$G$10:$BR$208,AF$4,FALSE))</f>
        <v/>
      </c>
      <c r="AG12" s="37" t="str">
        <f>IF($C12="","",VLOOKUP($C12,CTBat!$G$10:$BR$208,AG$4,FALSE))</f>
        <v/>
      </c>
      <c r="AH12" s="37" t="str">
        <f>IF($C12="","",VLOOKUP($C12,CTBat!$G$10:$BR$208,AH$4,FALSE))</f>
        <v/>
      </c>
      <c r="AI12" s="58" t="str">
        <f>IF($C12="","",VLOOKUP($C12,CTBat!$G$10:$BR$208,AI$4,FALSE))</f>
        <v/>
      </c>
      <c r="AJ12" s="38" t="str">
        <f>IF($C12="","",VLOOKUP($C12,CTBat!$G$10:$BR$208,AJ$4,FALSE))</f>
        <v/>
      </c>
      <c r="AK12" s="67" t="str">
        <f t="shared" si="13"/>
        <v/>
      </c>
      <c r="AL12" s="53" t="str">
        <f t="shared" si="14"/>
        <v/>
      </c>
      <c r="AM12" s="288" t="str">
        <f t="shared" si="15"/>
        <v/>
      </c>
      <c r="AN12" s="288" t="str">
        <f t="shared" si="16"/>
        <v/>
      </c>
      <c r="AO12" s="288" t="str">
        <f t="shared" si="17"/>
        <v/>
      </c>
      <c r="AP12" s="288" t="str">
        <f t="shared" si="18"/>
        <v/>
      </c>
      <c r="AQ12" s="288" t="str">
        <f t="shared" si="19"/>
        <v/>
      </c>
      <c r="AR12" s="288" t="str">
        <f t="shared" si="20"/>
        <v/>
      </c>
      <c r="AS12" s="288" t="str">
        <f t="shared" si="21"/>
        <v/>
      </c>
      <c r="AT12" s="289" t="str">
        <f t="shared" si="22"/>
        <v/>
      </c>
      <c r="AU12" s="58" t="str">
        <f>IF($C12="","",VLOOKUP($C12,CTBat!$G$10:$BR$208,AU$4,FALSE))</f>
        <v/>
      </c>
      <c r="AV12" s="37" t="str">
        <f>IF($C12="","",VLOOKUP($C12,CTBat!$G$10:$BR$208,AV$4,FALSE))</f>
        <v/>
      </c>
      <c r="AW12" s="37" t="str">
        <f>IF($C12="","",VLOOKUP($C12,CTBat!$G$10:$BR$208,AW$4,FALSE))</f>
        <v/>
      </c>
      <c r="AX12" s="37" t="str">
        <f>IF($C12="","",VLOOKUP($C12,CTBat!$G$10:$BR$208,AX$4,FALSE))</f>
        <v/>
      </c>
      <c r="AY12" s="38" t="str">
        <f>IF($C12="","",VLOOKUP($C12,CTBat!$G$10:$BR$208,AY$4,FALSE))</f>
        <v/>
      </c>
      <c r="AZ12" s="67" t="str">
        <f t="shared" si="23"/>
        <v/>
      </c>
    </row>
    <row r="13" spans="1:52">
      <c r="A13">
        <v>8</v>
      </c>
      <c r="B13" s="36" t="s">
        <v>104</v>
      </c>
      <c r="C13" s="65"/>
      <c r="D13" s="37" t="str">
        <f>IF($C13="","",VLOOKUP($C13,CTBat!$G$10:$BR$208,D$4,FALSE))</f>
        <v/>
      </c>
      <c r="E13" s="37" t="str">
        <f>IF($C13="","",VLOOKUP($C13,CTBat!$G$10:$BR$208,E$4,FALSE))</f>
        <v/>
      </c>
      <c r="F13" s="53" t="str">
        <f t="shared" si="3"/>
        <v/>
      </c>
      <c r="G13" s="288" t="str">
        <f t="shared" si="4"/>
        <v/>
      </c>
      <c r="H13" s="288" t="str">
        <f t="shared" si="5"/>
        <v/>
      </c>
      <c r="I13" s="288" t="str">
        <f t="shared" si="24"/>
        <v/>
      </c>
      <c r="J13" s="58" t="str">
        <f>IF($C13="","",VLOOKUP($C13,CTBat!$G$10:$BR$208,J$4,FALSE))</f>
        <v/>
      </c>
      <c r="K13" s="37" t="str">
        <f>IF($C13="","",VLOOKUP($C13,CTBat!$G$10:$BR$208,K$4,FALSE))</f>
        <v/>
      </c>
      <c r="L13" s="38" t="str">
        <f>IF($C13="","",VLOOKUP($C13,CTBat!$G$10:$BR$208,L$4,FALSE))</f>
        <v/>
      </c>
      <c r="M13" s="37" t="str">
        <f>IF($C13="","",VLOOKUP($C13,CTBat!$G$10:$BR$208,M$4,FALSE))</f>
        <v/>
      </c>
      <c r="N13" s="37" t="str">
        <f>IF($C13="","",VLOOKUP($C13,CTBat!$G$10:$BR$208,N$4,FALSE))</f>
        <v/>
      </c>
      <c r="O13" s="37" t="str">
        <f>IF($C13="","",VLOOKUP($C13,CTBat!$G$10:$BR$208,O$4,FALSE))</f>
        <v/>
      </c>
      <c r="P13" s="37" t="str">
        <f>IF($C13="","",VLOOKUP($C13,CTBat!$G$10:$BR$208,P$4,FALSE))</f>
        <v/>
      </c>
      <c r="Q13" s="37" t="str">
        <f>IF($C13="","",VLOOKUP($C13,CTBat!$G$10:$BR$208,Q$4,FALSE))</f>
        <v/>
      </c>
      <c r="R13" s="37" t="str">
        <f>IF($C13="","",VLOOKUP($C13,CTBat!$G$10:$BR$208,R$4,FALSE))</f>
        <v/>
      </c>
      <c r="S13" s="37" t="str">
        <f>IF($C13="","",VLOOKUP($C13,CTBat!$G$10:$BR$208,S$4,FALSE))</f>
        <v/>
      </c>
      <c r="T13" s="38" t="str">
        <f>IF($C13="","",VLOOKUP($C13,CTBat!$G$10:$BR$208,T$4,FALSE))</f>
        <v/>
      </c>
      <c r="U13" s="53" t="str">
        <f t="shared" si="1"/>
        <v/>
      </c>
      <c r="V13" s="288" t="str">
        <f t="shared" si="2"/>
        <v/>
      </c>
      <c r="W13" s="288" t="str">
        <f t="shared" si="6"/>
        <v/>
      </c>
      <c r="X13" s="288" t="str">
        <f t="shared" si="7"/>
        <v/>
      </c>
      <c r="Y13" s="288" t="str">
        <f t="shared" si="8"/>
        <v/>
      </c>
      <c r="Z13" s="288" t="str">
        <f t="shared" si="9"/>
        <v/>
      </c>
      <c r="AA13" s="288" t="str">
        <f t="shared" si="10"/>
        <v/>
      </c>
      <c r="AB13" s="288" t="str">
        <f t="shared" si="11"/>
        <v/>
      </c>
      <c r="AC13" s="289" t="str">
        <f t="shared" si="12"/>
        <v/>
      </c>
      <c r="AD13" s="37" t="str">
        <f>IF($C13="","",VLOOKUP($C13,CTBat!$G$10:$BR$208,AD$4,FALSE))</f>
        <v/>
      </c>
      <c r="AE13" s="37" t="str">
        <f>IF($C13="","",VLOOKUP($C13,CTBat!$G$10:$BR$208,AE$4,FALSE))</f>
        <v/>
      </c>
      <c r="AF13" s="37" t="str">
        <f>IF($C13="","",VLOOKUP($C13,CTBat!$G$10:$BR$208,AF$4,FALSE))</f>
        <v/>
      </c>
      <c r="AG13" s="37" t="str">
        <f>IF($C13="","",VLOOKUP($C13,CTBat!$G$10:$BR$208,AG$4,FALSE))</f>
        <v/>
      </c>
      <c r="AH13" s="37" t="str">
        <f>IF($C13="","",VLOOKUP($C13,CTBat!$G$10:$BR$208,AH$4,FALSE))</f>
        <v/>
      </c>
      <c r="AI13" s="58" t="str">
        <f>IF($C13="","",VLOOKUP($C13,CTBat!$G$10:$BR$208,AI$4,FALSE))</f>
        <v/>
      </c>
      <c r="AJ13" s="38" t="str">
        <f>IF($C13="","",VLOOKUP($C13,CTBat!$G$10:$BR$208,AJ$4,FALSE))</f>
        <v/>
      </c>
      <c r="AK13" s="67" t="str">
        <f t="shared" si="13"/>
        <v/>
      </c>
      <c r="AL13" s="53" t="str">
        <f t="shared" si="14"/>
        <v/>
      </c>
      <c r="AM13" s="288" t="str">
        <f t="shared" si="15"/>
        <v/>
      </c>
      <c r="AN13" s="288" t="str">
        <f t="shared" si="16"/>
        <v/>
      </c>
      <c r="AO13" s="288" t="str">
        <f t="shared" si="17"/>
        <v/>
      </c>
      <c r="AP13" s="288" t="str">
        <f t="shared" si="18"/>
        <v/>
      </c>
      <c r="AQ13" s="288" t="str">
        <f t="shared" si="19"/>
        <v/>
      </c>
      <c r="AR13" s="288" t="str">
        <f t="shared" si="20"/>
        <v/>
      </c>
      <c r="AS13" s="288" t="str">
        <f t="shared" si="21"/>
        <v/>
      </c>
      <c r="AT13" s="289" t="str">
        <f t="shared" si="22"/>
        <v/>
      </c>
      <c r="AU13" s="58" t="str">
        <f>IF($C13="","",VLOOKUP($C13,CTBat!$G$10:$BR$208,AU$4,FALSE))</f>
        <v/>
      </c>
      <c r="AV13" s="37" t="str">
        <f>IF($C13="","",VLOOKUP($C13,CTBat!$G$10:$BR$208,AV$4,FALSE))</f>
        <v/>
      </c>
      <c r="AW13" s="37" t="str">
        <f>IF($C13="","",VLOOKUP($C13,CTBat!$G$10:$BR$208,AW$4,FALSE))</f>
        <v/>
      </c>
      <c r="AX13" s="37" t="str">
        <f>IF($C13="","",VLOOKUP($C13,CTBat!$G$10:$BR$208,AX$4,FALSE))</f>
        <v/>
      </c>
      <c r="AY13" s="38" t="str">
        <f>IF($C13="","",VLOOKUP($C13,CTBat!$G$10:$BR$208,AY$4,FALSE))</f>
        <v/>
      </c>
      <c r="AZ13" s="67" t="str">
        <f t="shared" si="23"/>
        <v/>
      </c>
    </row>
    <row r="14" spans="1:52">
      <c r="A14">
        <v>9</v>
      </c>
      <c r="B14" s="36" t="s">
        <v>104</v>
      </c>
      <c r="C14" s="65"/>
      <c r="D14" s="37" t="str">
        <f>IF($C14="","",VLOOKUP($C14,CTBat!$G$10:$BR$208,D$4,FALSE))</f>
        <v/>
      </c>
      <c r="E14" s="37" t="str">
        <f>IF($C14="","",VLOOKUP($C14,CTBat!$G$10:$BR$208,E$4,FALSE))</f>
        <v/>
      </c>
      <c r="F14" s="53" t="str">
        <f t="shared" si="3"/>
        <v/>
      </c>
      <c r="G14" s="288" t="str">
        <f t="shared" si="4"/>
        <v/>
      </c>
      <c r="H14" s="288" t="str">
        <f t="shared" si="5"/>
        <v/>
      </c>
      <c r="I14" s="288" t="str">
        <f t="shared" si="24"/>
        <v/>
      </c>
      <c r="J14" s="58" t="str">
        <f>IF($C14="","",VLOOKUP($C14,CTBat!$G$10:$BR$208,J$4,FALSE))</f>
        <v/>
      </c>
      <c r="K14" s="37" t="str">
        <f>IF($C14="","",VLOOKUP($C14,CTBat!$G$10:$BR$208,K$4,FALSE))</f>
        <v/>
      </c>
      <c r="L14" s="38" t="str">
        <f>IF($C14="","",VLOOKUP($C14,CTBat!$G$10:$BR$208,L$4,FALSE))</f>
        <v/>
      </c>
      <c r="M14" s="37" t="str">
        <f>IF($C14="","",VLOOKUP($C14,CTBat!$G$10:$BR$208,M$4,FALSE))</f>
        <v/>
      </c>
      <c r="N14" s="37" t="str">
        <f>IF($C14="","",VLOOKUP($C14,CTBat!$G$10:$BR$208,N$4,FALSE))</f>
        <v/>
      </c>
      <c r="O14" s="37" t="str">
        <f>IF($C14="","",VLOOKUP($C14,CTBat!$G$10:$BR$208,O$4,FALSE))</f>
        <v/>
      </c>
      <c r="P14" s="37" t="str">
        <f>IF($C14="","",VLOOKUP($C14,CTBat!$G$10:$BR$208,P$4,FALSE))</f>
        <v/>
      </c>
      <c r="Q14" s="37" t="str">
        <f>IF($C14="","",VLOOKUP($C14,CTBat!$G$10:$BR$208,Q$4,FALSE))</f>
        <v/>
      </c>
      <c r="R14" s="37" t="str">
        <f>IF($C14="","",VLOOKUP($C14,CTBat!$G$10:$BR$208,R$4,FALSE))</f>
        <v/>
      </c>
      <c r="S14" s="37" t="str">
        <f>IF($C14="","",VLOOKUP($C14,CTBat!$G$10:$BR$208,S$4,FALSE))</f>
        <v/>
      </c>
      <c r="T14" s="38" t="str">
        <f>IF($C14="","",VLOOKUP($C14,CTBat!$G$10:$BR$208,T$4,FALSE))</f>
        <v/>
      </c>
      <c r="U14" s="53" t="str">
        <f t="shared" si="1"/>
        <v/>
      </c>
      <c r="V14" s="288" t="str">
        <f t="shared" si="2"/>
        <v/>
      </c>
      <c r="W14" s="288" t="str">
        <f t="shared" si="6"/>
        <v/>
      </c>
      <c r="X14" s="288" t="str">
        <f t="shared" si="7"/>
        <v/>
      </c>
      <c r="Y14" s="288" t="str">
        <f t="shared" si="8"/>
        <v/>
      </c>
      <c r="Z14" s="288" t="str">
        <f t="shared" si="9"/>
        <v/>
      </c>
      <c r="AA14" s="288" t="str">
        <f t="shared" si="10"/>
        <v/>
      </c>
      <c r="AB14" s="288" t="str">
        <f t="shared" si="11"/>
        <v/>
      </c>
      <c r="AC14" s="289" t="str">
        <f t="shared" si="12"/>
        <v/>
      </c>
      <c r="AD14" s="37" t="str">
        <f>IF($C14="","",VLOOKUP($C14,CTBat!$G$10:$BR$208,AD$4,FALSE))</f>
        <v/>
      </c>
      <c r="AE14" s="37" t="str">
        <f>IF($C14="","",VLOOKUP($C14,CTBat!$G$10:$BR$208,AE$4,FALSE))</f>
        <v/>
      </c>
      <c r="AF14" s="37" t="str">
        <f>IF($C14="","",VLOOKUP($C14,CTBat!$G$10:$BR$208,AF$4,FALSE))</f>
        <v/>
      </c>
      <c r="AG14" s="37" t="str">
        <f>IF($C14="","",VLOOKUP($C14,CTBat!$G$10:$BR$208,AG$4,FALSE))</f>
        <v/>
      </c>
      <c r="AH14" s="37" t="str">
        <f>IF($C14="","",VLOOKUP($C14,CTBat!$G$10:$BR$208,AH$4,FALSE))</f>
        <v/>
      </c>
      <c r="AI14" s="58" t="str">
        <f>IF($C14="","",VLOOKUP($C14,CTBat!$G$10:$BR$208,AI$4,FALSE))</f>
        <v/>
      </c>
      <c r="AJ14" s="38" t="str">
        <f>IF($C14="","",VLOOKUP($C14,CTBat!$G$10:$BR$208,AJ$4,FALSE))</f>
        <v/>
      </c>
      <c r="AK14" s="67" t="str">
        <f t="shared" si="13"/>
        <v/>
      </c>
      <c r="AL14" s="53" t="str">
        <f t="shared" si="14"/>
        <v/>
      </c>
      <c r="AM14" s="288" t="str">
        <f t="shared" si="15"/>
        <v/>
      </c>
      <c r="AN14" s="288" t="str">
        <f t="shared" si="16"/>
        <v/>
      </c>
      <c r="AO14" s="288" t="str">
        <f t="shared" si="17"/>
        <v/>
      </c>
      <c r="AP14" s="288" t="str">
        <f t="shared" si="18"/>
        <v/>
      </c>
      <c r="AQ14" s="288" t="str">
        <f t="shared" si="19"/>
        <v/>
      </c>
      <c r="AR14" s="288" t="str">
        <f t="shared" si="20"/>
        <v/>
      </c>
      <c r="AS14" s="288" t="str">
        <f t="shared" si="21"/>
        <v/>
      </c>
      <c r="AT14" s="289" t="str">
        <f t="shared" si="22"/>
        <v/>
      </c>
      <c r="AU14" s="58" t="str">
        <f>IF($C14="","",VLOOKUP($C14,CTBat!$G$10:$BR$208,AU$4,FALSE))</f>
        <v/>
      </c>
      <c r="AV14" s="37" t="str">
        <f>IF($C14="","",VLOOKUP($C14,CTBat!$G$10:$BR$208,AV$4,FALSE))</f>
        <v/>
      </c>
      <c r="AW14" s="37" t="str">
        <f>IF($C14="","",VLOOKUP($C14,CTBat!$G$10:$BR$208,AW$4,FALSE))</f>
        <v/>
      </c>
      <c r="AX14" s="37" t="str">
        <f>IF($C14="","",VLOOKUP($C14,CTBat!$G$10:$BR$208,AX$4,FALSE))</f>
        <v/>
      </c>
      <c r="AY14" s="38" t="str">
        <f>IF($C14="","",VLOOKUP($C14,CTBat!$G$10:$BR$208,AY$4,FALSE))</f>
        <v/>
      </c>
      <c r="AZ14" s="67" t="str">
        <f t="shared" si="23"/>
        <v/>
      </c>
    </row>
    <row r="15" spans="1:52">
      <c r="A15">
        <v>9</v>
      </c>
      <c r="B15" s="36" t="s">
        <v>104</v>
      </c>
      <c r="C15" s="65"/>
      <c r="D15" s="37" t="str">
        <f>IF($C15="","",VLOOKUP($C15,CTBat!$G$10:$BR$208,D$4,FALSE))</f>
        <v/>
      </c>
      <c r="E15" s="37" t="str">
        <f>IF($C15="","",VLOOKUP($C15,CTBat!$G$10:$BR$208,E$4,FALSE))</f>
        <v/>
      </c>
      <c r="F15" s="53" t="str">
        <f t="shared" si="3"/>
        <v/>
      </c>
      <c r="G15" s="288" t="str">
        <f t="shared" si="4"/>
        <v/>
      </c>
      <c r="H15" s="288" t="str">
        <f t="shared" si="5"/>
        <v/>
      </c>
      <c r="I15" s="288" t="str">
        <f t="shared" si="24"/>
        <v/>
      </c>
      <c r="J15" s="58" t="str">
        <f>IF($C15="","",VLOOKUP($C15,CTBat!$G$10:$BR$208,J$4,FALSE))</f>
        <v/>
      </c>
      <c r="K15" s="37" t="str">
        <f>IF($C15="","",VLOOKUP($C15,CTBat!$G$10:$BR$208,K$4,FALSE))</f>
        <v/>
      </c>
      <c r="L15" s="38" t="str">
        <f>IF($C15="","",VLOOKUP($C15,CTBat!$G$10:$BR$208,L$4,FALSE))</f>
        <v/>
      </c>
      <c r="M15" s="37" t="str">
        <f>IF($C15="","",VLOOKUP($C15,CTBat!$G$10:$BR$208,M$4,FALSE))</f>
        <v/>
      </c>
      <c r="N15" s="37" t="str">
        <f>IF($C15="","",VLOOKUP($C15,CTBat!$G$10:$BR$208,N$4,FALSE))</f>
        <v/>
      </c>
      <c r="O15" s="37" t="str">
        <f>IF($C15="","",VLOOKUP($C15,CTBat!$G$10:$BR$208,O$4,FALSE))</f>
        <v/>
      </c>
      <c r="P15" s="37" t="str">
        <f>IF($C15="","",VLOOKUP($C15,CTBat!$G$10:$BR$208,P$4,FALSE))</f>
        <v/>
      </c>
      <c r="Q15" s="37" t="str">
        <f>IF($C15="","",VLOOKUP($C15,CTBat!$G$10:$BR$208,Q$4,FALSE))</f>
        <v/>
      </c>
      <c r="R15" s="37" t="str">
        <f>IF($C15="","",VLOOKUP($C15,CTBat!$G$10:$BR$208,R$4,FALSE))</f>
        <v/>
      </c>
      <c r="S15" s="37" t="str">
        <f>IF($C15="","",VLOOKUP($C15,CTBat!$G$10:$BR$208,S$4,FALSE))</f>
        <v/>
      </c>
      <c r="T15" s="38" t="str">
        <f>IF($C15="","",VLOOKUP($C15,CTBat!$G$10:$BR$208,T$4,FALSE))</f>
        <v/>
      </c>
      <c r="U15" s="53" t="str">
        <f t="shared" si="1"/>
        <v/>
      </c>
      <c r="V15" s="288" t="str">
        <f t="shared" si="2"/>
        <v/>
      </c>
      <c r="W15" s="288" t="str">
        <f t="shared" si="6"/>
        <v/>
      </c>
      <c r="X15" s="288" t="str">
        <f t="shared" si="7"/>
        <v/>
      </c>
      <c r="Y15" s="288" t="str">
        <f t="shared" si="8"/>
        <v/>
      </c>
      <c r="Z15" s="288" t="str">
        <f t="shared" si="9"/>
        <v/>
      </c>
      <c r="AA15" s="288" t="str">
        <f t="shared" si="10"/>
        <v/>
      </c>
      <c r="AB15" s="288" t="str">
        <f t="shared" si="11"/>
        <v/>
      </c>
      <c r="AC15" s="289" t="str">
        <f t="shared" si="12"/>
        <v/>
      </c>
      <c r="AD15" s="37" t="str">
        <f>IF($C15="","",VLOOKUP($C15,CTBat!$G$10:$BR$208,AD$4,FALSE))</f>
        <v/>
      </c>
      <c r="AE15" s="37" t="str">
        <f>IF($C15="","",VLOOKUP($C15,CTBat!$G$10:$BR$208,AE$4,FALSE))</f>
        <v/>
      </c>
      <c r="AF15" s="37" t="str">
        <f>IF($C15="","",VLOOKUP($C15,CTBat!$G$10:$BR$208,AF$4,FALSE))</f>
        <v/>
      </c>
      <c r="AG15" s="37" t="str">
        <f>IF($C15="","",VLOOKUP($C15,CTBat!$G$10:$BR$208,AG$4,FALSE))</f>
        <v/>
      </c>
      <c r="AH15" s="37" t="str">
        <f>IF($C15="","",VLOOKUP($C15,CTBat!$G$10:$BR$208,AH$4,FALSE))</f>
        <v/>
      </c>
      <c r="AI15" s="58" t="str">
        <f>IF($C15="","",VLOOKUP($C15,CTBat!$G$10:$BR$208,AI$4,FALSE))</f>
        <v/>
      </c>
      <c r="AJ15" s="38" t="str">
        <f>IF($C15="","",VLOOKUP($C15,CTBat!$G$10:$BR$208,AJ$4,FALSE))</f>
        <v/>
      </c>
      <c r="AK15" s="67" t="str">
        <f t="shared" si="13"/>
        <v/>
      </c>
      <c r="AL15" s="53" t="str">
        <f t="shared" si="14"/>
        <v/>
      </c>
      <c r="AM15" s="288" t="str">
        <f t="shared" si="15"/>
        <v/>
      </c>
      <c r="AN15" s="288" t="str">
        <f t="shared" si="16"/>
        <v/>
      </c>
      <c r="AO15" s="288" t="str">
        <f t="shared" si="17"/>
        <v/>
      </c>
      <c r="AP15" s="288" t="str">
        <f t="shared" si="18"/>
        <v/>
      </c>
      <c r="AQ15" s="288" t="str">
        <f t="shared" si="19"/>
        <v/>
      </c>
      <c r="AR15" s="288" t="str">
        <f t="shared" si="20"/>
        <v/>
      </c>
      <c r="AS15" s="288" t="str">
        <f t="shared" si="21"/>
        <v/>
      </c>
      <c r="AT15" s="289" t="str">
        <f t="shared" si="22"/>
        <v/>
      </c>
      <c r="AU15" s="58" t="str">
        <f>IF($C15="","",VLOOKUP($C15,CTBat!$G$10:$BR$208,AU$4,FALSE))</f>
        <v/>
      </c>
      <c r="AV15" s="37" t="str">
        <f>IF($C15="","",VLOOKUP($C15,CTBat!$G$10:$BR$208,AV$4,FALSE))</f>
        <v/>
      </c>
      <c r="AW15" s="37" t="str">
        <f>IF($C15="","",VLOOKUP($C15,CTBat!$G$10:$BR$208,AW$4,FALSE))</f>
        <v/>
      </c>
      <c r="AX15" s="37" t="str">
        <f>IF($C15="","",VLOOKUP($C15,CTBat!$G$10:$BR$208,AX$4,FALSE))</f>
        <v/>
      </c>
      <c r="AY15" s="38" t="str">
        <f>IF($C15="","",VLOOKUP($C15,CTBat!$G$10:$BR$208,AY$4,FALSE))</f>
        <v/>
      </c>
      <c r="AZ15" s="67" t="str">
        <f t="shared" si="23"/>
        <v/>
      </c>
    </row>
    <row r="16" spans="1:52">
      <c r="A16">
        <v>9</v>
      </c>
      <c r="B16" s="36" t="s">
        <v>104</v>
      </c>
      <c r="C16" s="65"/>
      <c r="D16" s="37" t="str">
        <f>IF($C16="","",VLOOKUP($C16,CTBat!$G$10:$BR$208,D$4,FALSE))</f>
        <v/>
      </c>
      <c r="E16" s="37" t="str">
        <f>IF($C16="","",VLOOKUP($C16,CTBat!$G$10:$BR$208,E$4,FALSE))</f>
        <v/>
      </c>
      <c r="F16" s="53" t="str">
        <f t="shared" si="3"/>
        <v/>
      </c>
      <c r="G16" s="288" t="str">
        <f t="shared" si="4"/>
        <v/>
      </c>
      <c r="H16" s="288" t="str">
        <f t="shared" si="5"/>
        <v/>
      </c>
      <c r="I16" s="288" t="str">
        <f t="shared" si="24"/>
        <v/>
      </c>
      <c r="J16" s="58" t="str">
        <f>IF($C16="","",VLOOKUP($C16,CTBat!$G$10:$BR$208,J$4,FALSE))</f>
        <v/>
      </c>
      <c r="K16" s="37" t="str">
        <f>IF($C16="","",VLOOKUP($C16,CTBat!$G$10:$BR$208,K$4,FALSE))</f>
        <v/>
      </c>
      <c r="L16" s="38" t="str">
        <f>IF($C16="","",VLOOKUP($C16,CTBat!$G$10:$BR$208,L$4,FALSE))</f>
        <v/>
      </c>
      <c r="M16" s="37" t="str">
        <f>IF($C16="","",VLOOKUP($C16,CTBat!$G$10:$BR$208,M$4,FALSE))</f>
        <v/>
      </c>
      <c r="N16" s="37" t="str">
        <f>IF($C16="","",VLOOKUP($C16,CTBat!$G$10:$BR$208,N$4,FALSE))</f>
        <v/>
      </c>
      <c r="O16" s="37" t="str">
        <f>IF($C16="","",VLOOKUP($C16,CTBat!$G$10:$BR$208,O$4,FALSE))</f>
        <v/>
      </c>
      <c r="P16" s="37" t="str">
        <f>IF($C16="","",VLOOKUP($C16,CTBat!$G$10:$BR$208,P$4,FALSE))</f>
        <v/>
      </c>
      <c r="Q16" s="37" t="str">
        <f>IF($C16="","",VLOOKUP($C16,CTBat!$G$10:$BR$208,Q$4,FALSE))</f>
        <v/>
      </c>
      <c r="R16" s="37" t="str">
        <f>IF($C16="","",VLOOKUP($C16,CTBat!$G$10:$BR$208,R$4,FALSE))</f>
        <v/>
      </c>
      <c r="S16" s="37" t="str">
        <f>IF($C16="","",VLOOKUP($C16,CTBat!$G$10:$BR$208,S$4,FALSE))</f>
        <v/>
      </c>
      <c r="T16" s="38" t="str">
        <f>IF($C16="","",VLOOKUP($C16,CTBat!$G$10:$BR$208,T$4,FALSE))</f>
        <v/>
      </c>
      <c r="U16" s="53" t="str">
        <f t="shared" si="1"/>
        <v/>
      </c>
      <c r="V16" s="288" t="str">
        <f t="shared" si="2"/>
        <v/>
      </c>
      <c r="W16" s="288" t="str">
        <f t="shared" si="6"/>
        <v/>
      </c>
      <c r="X16" s="288" t="str">
        <f t="shared" si="7"/>
        <v/>
      </c>
      <c r="Y16" s="288" t="str">
        <f t="shared" si="8"/>
        <v/>
      </c>
      <c r="Z16" s="288" t="str">
        <f t="shared" si="9"/>
        <v/>
      </c>
      <c r="AA16" s="288" t="str">
        <f t="shared" si="10"/>
        <v/>
      </c>
      <c r="AB16" s="288" t="str">
        <f t="shared" si="11"/>
        <v/>
      </c>
      <c r="AC16" s="289" t="str">
        <f t="shared" si="12"/>
        <v/>
      </c>
      <c r="AD16" s="37" t="str">
        <f>IF($C16="","",VLOOKUP($C16,CTBat!$G$10:$BR$208,AD$4,FALSE))</f>
        <v/>
      </c>
      <c r="AE16" s="37" t="str">
        <f>IF($C16="","",VLOOKUP($C16,CTBat!$G$10:$BR$208,AE$4,FALSE))</f>
        <v/>
      </c>
      <c r="AF16" s="37" t="str">
        <f>IF($C16="","",VLOOKUP($C16,CTBat!$G$10:$BR$208,AF$4,FALSE))</f>
        <v/>
      </c>
      <c r="AG16" s="37" t="str">
        <f>IF($C16="","",VLOOKUP($C16,CTBat!$G$10:$BR$208,AG$4,FALSE))</f>
        <v/>
      </c>
      <c r="AH16" s="37" t="str">
        <f>IF($C16="","",VLOOKUP($C16,CTBat!$G$10:$BR$208,AH$4,FALSE))</f>
        <v/>
      </c>
      <c r="AI16" s="58" t="str">
        <f>IF($C16="","",VLOOKUP($C16,CTBat!$G$10:$BR$208,AI$4,FALSE))</f>
        <v/>
      </c>
      <c r="AJ16" s="38" t="str">
        <f>IF($C16="","",VLOOKUP($C16,CTBat!$G$10:$BR$208,AJ$4,FALSE))</f>
        <v/>
      </c>
      <c r="AK16" s="67" t="str">
        <f t="shared" si="13"/>
        <v/>
      </c>
      <c r="AL16" s="53" t="str">
        <f t="shared" si="14"/>
        <v/>
      </c>
      <c r="AM16" s="288" t="str">
        <f t="shared" si="15"/>
        <v/>
      </c>
      <c r="AN16" s="288" t="str">
        <f t="shared" si="16"/>
        <v/>
      </c>
      <c r="AO16" s="288" t="str">
        <f t="shared" si="17"/>
        <v/>
      </c>
      <c r="AP16" s="288" t="str">
        <f t="shared" si="18"/>
        <v/>
      </c>
      <c r="AQ16" s="288" t="str">
        <f t="shared" si="19"/>
        <v/>
      </c>
      <c r="AR16" s="288" t="str">
        <f t="shared" si="20"/>
        <v/>
      </c>
      <c r="AS16" s="288" t="str">
        <f t="shared" si="21"/>
        <v/>
      </c>
      <c r="AT16" s="289" t="str">
        <f t="shared" si="22"/>
        <v/>
      </c>
      <c r="AU16" s="58" t="str">
        <f>IF($C16="","",VLOOKUP($C16,CTBat!$G$10:$BR$208,AU$4,FALSE))</f>
        <v/>
      </c>
      <c r="AV16" s="37" t="str">
        <f>IF($C16="","",VLOOKUP($C16,CTBat!$G$10:$BR$208,AV$4,FALSE))</f>
        <v/>
      </c>
      <c r="AW16" s="37" t="str">
        <f>IF($C16="","",VLOOKUP($C16,CTBat!$G$10:$BR$208,AW$4,FALSE))</f>
        <v/>
      </c>
      <c r="AX16" s="37" t="str">
        <f>IF($C16="","",VLOOKUP($C16,CTBat!$G$10:$BR$208,AX$4,FALSE))</f>
        <v/>
      </c>
      <c r="AY16" s="38" t="str">
        <f>IF($C16="","",VLOOKUP($C16,CTBat!$G$10:$BR$208,AY$4,FALSE))</f>
        <v/>
      </c>
      <c r="AZ16" s="67" t="str">
        <f t="shared" si="23"/>
        <v/>
      </c>
    </row>
    <row r="17" spans="1:52">
      <c r="A17">
        <v>10</v>
      </c>
      <c r="B17" s="39" t="s">
        <v>104</v>
      </c>
      <c r="C17" s="40"/>
      <c r="D17" s="40" t="str">
        <f>IF($C17="","",VLOOKUP($C17,CTBat!$G$10:$BR$208,D$4,FALSE))</f>
        <v/>
      </c>
      <c r="E17" s="40" t="str">
        <f>IF($C17="","",VLOOKUP($C17,CTBat!$G$10:$BR$208,E$4,FALSE))</f>
        <v/>
      </c>
      <c r="F17" s="54" t="str">
        <f t="shared" si="3"/>
        <v/>
      </c>
      <c r="G17" s="286" t="str">
        <f t="shared" si="4"/>
        <v/>
      </c>
      <c r="H17" s="286" t="str">
        <f t="shared" si="5"/>
        <v/>
      </c>
      <c r="I17" s="286" t="str">
        <f t="shared" si="24"/>
        <v/>
      </c>
      <c r="J17" s="59" t="str">
        <f>IF($C17="","",VLOOKUP($C17,CTBat!$G$10:$BR$208,J$4,FALSE))</f>
        <v/>
      </c>
      <c r="K17" s="40" t="str">
        <f>IF($C17="","",VLOOKUP($C17,CTBat!$G$10:$BR$208,K$4,FALSE))</f>
        <v/>
      </c>
      <c r="L17" s="42" t="str">
        <f>IF($C17="","",VLOOKUP($C17,CTBat!$G$10:$BR$208,L$4,FALSE))</f>
        <v/>
      </c>
      <c r="M17" s="40" t="str">
        <f>IF($C17="","",VLOOKUP($C17,CTBat!$G$10:$BR$208,M$4,FALSE))</f>
        <v/>
      </c>
      <c r="N17" s="40" t="str">
        <f>IF($C17="","",VLOOKUP($C17,CTBat!$G$10:$BR$208,N$4,FALSE))</f>
        <v/>
      </c>
      <c r="O17" s="40" t="str">
        <f>IF($C17="","",VLOOKUP($C17,CTBat!$G$10:$BR$208,O$4,FALSE))</f>
        <v/>
      </c>
      <c r="P17" s="40" t="str">
        <f>IF($C17="","",VLOOKUP($C17,CTBat!$G$10:$BR$208,P$4,FALSE))</f>
        <v/>
      </c>
      <c r="Q17" s="40" t="str">
        <f>IF($C17="","",VLOOKUP($C17,CTBat!$G$10:$BR$208,Q$4,FALSE))</f>
        <v/>
      </c>
      <c r="R17" s="40" t="str">
        <f>IF($C17="","",VLOOKUP($C17,CTBat!$G$10:$BR$208,R$4,FALSE))</f>
        <v/>
      </c>
      <c r="S17" s="40" t="str">
        <f>IF($C17="","",VLOOKUP($C17,CTBat!$G$10:$BR$208,S$4,FALSE))</f>
        <v/>
      </c>
      <c r="T17" s="42" t="str">
        <f>IF($C17="","",VLOOKUP($C17,CTBat!$G$10:$BR$208,T$4,FALSE))</f>
        <v/>
      </c>
      <c r="U17" s="54" t="str">
        <f t="shared" si="1"/>
        <v/>
      </c>
      <c r="V17" s="286" t="str">
        <f t="shared" si="2"/>
        <v/>
      </c>
      <c r="W17" s="286" t="str">
        <f t="shared" si="6"/>
        <v/>
      </c>
      <c r="X17" s="286" t="str">
        <f t="shared" si="7"/>
        <v/>
      </c>
      <c r="Y17" s="286" t="str">
        <f t="shared" si="8"/>
        <v/>
      </c>
      <c r="Z17" s="286" t="str">
        <f t="shared" si="9"/>
        <v/>
      </c>
      <c r="AA17" s="286" t="str">
        <f t="shared" si="10"/>
        <v/>
      </c>
      <c r="AB17" s="286" t="str">
        <f t="shared" si="11"/>
        <v/>
      </c>
      <c r="AC17" s="287" t="str">
        <f t="shared" si="12"/>
        <v/>
      </c>
      <c r="AD17" s="40" t="str">
        <f>IF($C17="","",VLOOKUP($C17,CTBat!$G$10:$BR$208,AD$4,FALSE))</f>
        <v/>
      </c>
      <c r="AE17" s="40" t="str">
        <f>IF($C17="","",VLOOKUP($C17,CTBat!$G$10:$BR$208,AE$4,FALSE))</f>
        <v/>
      </c>
      <c r="AF17" s="40" t="str">
        <f>IF($C17="","",VLOOKUP($C17,CTBat!$G$10:$BR$208,AF$4,FALSE))</f>
        <v/>
      </c>
      <c r="AG17" s="40" t="str">
        <f>IF($C17="","",VLOOKUP($C17,CTBat!$G$10:$BR$208,AG$4,FALSE))</f>
        <v/>
      </c>
      <c r="AH17" s="40" t="str">
        <f>IF($C17="","",VLOOKUP($C17,CTBat!$G$10:$BR$208,AH$4,FALSE))</f>
        <v/>
      </c>
      <c r="AI17" s="59" t="str">
        <f>IF($C17="","",VLOOKUP($C17,CTBat!$G$10:$BR$208,AI$4,FALSE))</f>
        <v/>
      </c>
      <c r="AJ17" s="42" t="str">
        <f>IF($C17="","",VLOOKUP($C17,CTBat!$G$10:$BR$208,AJ$4,FALSE))</f>
        <v/>
      </c>
      <c r="AK17" s="68" t="str">
        <f t="shared" si="13"/>
        <v/>
      </c>
      <c r="AL17" s="54" t="str">
        <f t="shared" si="14"/>
        <v/>
      </c>
      <c r="AM17" s="286" t="str">
        <f t="shared" si="15"/>
        <v/>
      </c>
      <c r="AN17" s="286" t="str">
        <f t="shared" si="16"/>
        <v/>
      </c>
      <c r="AO17" s="286" t="str">
        <f t="shared" si="17"/>
        <v/>
      </c>
      <c r="AP17" s="286" t="str">
        <f t="shared" si="18"/>
        <v/>
      </c>
      <c r="AQ17" s="286" t="str">
        <f t="shared" si="19"/>
        <v/>
      </c>
      <c r="AR17" s="286" t="str">
        <f t="shared" si="20"/>
        <v/>
      </c>
      <c r="AS17" s="286" t="str">
        <f t="shared" si="21"/>
        <v/>
      </c>
      <c r="AT17" s="287" t="str">
        <f t="shared" si="22"/>
        <v/>
      </c>
      <c r="AU17" s="59" t="str">
        <f>IF($C17="","",VLOOKUP($C17,CTBat!$G$10:$BR$208,AU$4,FALSE))</f>
        <v/>
      </c>
      <c r="AV17" s="40" t="str">
        <f>IF($C17="","",VLOOKUP($C17,CTBat!$G$10:$BR$208,AV$4,FALSE))</f>
        <v/>
      </c>
      <c r="AW17" s="40" t="str">
        <f>IF($C17="","",VLOOKUP($C17,CTBat!$G$10:$BR$208,AW$4,FALSE))</f>
        <v/>
      </c>
      <c r="AX17" s="40" t="str">
        <f>IF($C17="","",VLOOKUP($C17,CTBat!$G$10:$BR$208,AX$4,FALSE))</f>
        <v/>
      </c>
      <c r="AY17" s="42" t="str">
        <f>IF($C17="","",VLOOKUP($C17,CTBat!$G$10:$BR$208,AY$4,FALSE))</f>
        <v/>
      </c>
      <c r="AZ17" s="68" t="str">
        <f t="shared" si="23"/>
        <v/>
      </c>
    </row>
    <row r="19" spans="1:52" s="24" customFormat="1" ht="196.5">
      <c r="A19" s="25" t="s">
        <v>196</v>
      </c>
      <c r="B19" s="283" t="s">
        <v>128</v>
      </c>
      <c r="C19" s="44" t="str">
        <f>"Player ("&amp;COUNTA(C20:C27)&amp;")"</f>
        <v>Player (5)</v>
      </c>
      <c r="D19" s="44" t="s">
        <v>94</v>
      </c>
      <c r="E19" s="44" t="s">
        <v>104</v>
      </c>
      <c r="F19" s="51" t="str">
        <f>"Only 1 guy who only plays 2B ("&amp;SUM(F20:F27)&amp;")"</f>
        <v>Only 1 guy who only plays 2B (0)</v>
      </c>
      <c r="G19" s="46" t="str">
        <f>"2 Guys Who Play SS ("&amp;SUM(G20:G27)&amp;")"</f>
        <v>2 Guys Who Play SS (5)</v>
      </c>
      <c r="H19" s="46" t="str">
        <f>"2 guys with 3B arm ("&amp;SUM(H20:H27)&amp;")"</f>
        <v>2 guys with 3B arm (2)</v>
      </c>
      <c r="I19" s="49" t="s">
        <v>41</v>
      </c>
      <c r="J19" s="47" t="s">
        <v>139</v>
      </c>
      <c r="K19" s="47" t="s">
        <v>137</v>
      </c>
      <c r="L19" s="47" t="s">
        <v>138</v>
      </c>
      <c r="M19" s="63" t="s">
        <v>95</v>
      </c>
      <c r="N19" s="48" t="s">
        <v>97</v>
      </c>
      <c r="O19" s="48" t="s">
        <v>98</v>
      </c>
      <c r="P19" s="48" t="s">
        <v>99</v>
      </c>
      <c r="Q19" s="48" t="s">
        <v>100</v>
      </c>
      <c r="R19" s="48" t="s">
        <v>101</v>
      </c>
      <c r="S19" s="48" t="s">
        <v>102</v>
      </c>
      <c r="T19" s="49" t="s">
        <v>103</v>
      </c>
      <c r="U19" s="45" t="s">
        <v>140</v>
      </c>
      <c r="V19" s="45" t="s">
        <v>184</v>
      </c>
      <c r="W19" s="45" t="s">
        <v>141</v>
      </c>
      <c r="X19" s="45" t="s">
        <v>142</v>
      </c>
      <c r="Y19" s="45" t="s">
        <v>143</v>
      </c>
      <c r="Z19" s="45" t="s">
        <v>144</v>
      </c>
      <c r="AA19" s="45" t="s">
        <v>145</v>
      </c>
      <c r="AB19" s="45" t="s">
        <v>147</v>
      </c>
      <c r="AC19" s="45" t="s">
        <v>146</v>
      </c>
      <c r="AD19" s="63" t="s">
        <v>150</v>
      </c>
      <c r="AE19" s="48" t="s">
        <v>151</v>
      </c>
      <c r="AF19" s="48" t="s">
        <v>152</v>
      </c>
      <c r="AG19" s="48" t="s">
        <v>153</v>
      </c>
      <c r="AH19" s="48" t="s">
        <v>29</v>
      </c>
      <c r="AI19" s="48" t="s">
        <v>154</v>
      </c>
      <c r="AJ19" s="49" t="s">
        <v>155</v>
      </c>
      <c r="AK19" s="66" t="s">
        <v>160</v>
      </c>
      <c r="AL19" s="45" t="s">
        <v>140</v>
      </c>
      <c r="AM19" s="45" t="s">
        <v>184</v>
      </c>
      <c r="AN19" s="45" t="s">
        <v>141</v>
      </c>
      <c r="AO19" s="45" t="s">
        <v>142</v>
      </c>
      <c r="AP19" s="45" t="s">
        <v>143</v>
      </c>
      <c r="AQ19" s="45" t="s">
        <v>144</v>
      </c>
      <c r="AR19" s="45" t="s">
        <v>145</v>
      </c>
      <c r="AS19" s="45" t="s">
        <v>147</v>
      </c>
      <c r="AT19" s="45" t="s">
        <v>146</v>
      </c>
      <c r="AU19" s="63" t="s">
        <v>150</v>
      </c>
      <c r="AV19" s="48" t="s">
        <v>151</v>
      </c>
      <c r="AW19" s="48" t="s">
        <v>152</v>
      </c>
      <c r="AX19" s="48" t="s">
        <v>153</v>
      </c>
      <c r="AY19" s="49" t="s">
        <v>29</v>
      </c>
      <c r="AZ19" s="66" t="s">
        <v>201</v>
      </c>
    </row>
    <row r="20" spans="1:52">
      <c r="A20">
        <v>1</v>
      </c>
      <c r="B20" s="36" t="s">
        <v>98</v>
      </c>
      <c r="C20" s="37" t="s">
        <v>498</v>
      </c>
      <c r="D20" s="37">
        <f>IF($C20="","",VLOOKUP($C20,CTBat!$G$10:$BR$208,D$4,FALSE))</f>
        <v>32</v>
      </c>
      <c r="E20" s="33" t="str">
        <f>IF($C20="","",VLOOKUP($C20,CTBat!$G$10:$BR$208,E$4,FALSE))</f>
        <v>R</v>
      </c>
      <c r="F20" s="53">
        <f>IF($C20="","",IF(AND(O20&gt;0,O20=SUM(M20:T20)),1,0))</f>
        <v>0</v>
      </c>
      <c r="G20" s="288">
        <f t="shared" ref="G20:G26" si="25">IF($C20="","",IF(Q20&lt;&gt;"-",1,0))</f>
        <v>1</v>
      </c>
      <c r="H20" s="288">
        <f>IF($C20="","",IF(AND(K20&gt;5,P20&lt;&gt;"-"),1,0))</f>
        <v>0</v>
      </c>
      <c r="I20" s="289" t="str">
        <f>IF($C20="","","-")</f>
        <v>-</v>
      </c>
      <c r="J20" s="37">
        <f>IF($C20="","",VLOOKUP($C20,CTBat!$G$10:$BR$208,J$4,FALSE))</f>
        <v>1</v>
      </c>
      <c r="K20" s="37">
        <f>IF($C20="","",VLOOKUP($C20,CTBat!$G$10:$BR$208,K$4,FALSE))</f>
        <v>4</v>
      </c>
      <c r="L20" s="37">
        <f>IF($C20="","",VLOOKUP($C20,CTBat!$G$10:$BR$208,L$4,FALSE))</f>
        <v>2</v>
      </c>
      <c r="M20" s="58" t="str">
        <f>IF($C20="","",VLOOKUP($C20,CTBat!$G$10:$BR$208,M$4,FALSE))</f>
        <v>-</v>
      </c>
      <c r="N20" s="37" t="str">
        <f>IF($C20="","",VLOOKUP($C20,CTBat!$G$10:$BR$208,N$4,FALSE))</f>
        <v>-</v>
      </c>
      <c r="O20" s="37">
        <f>IF($C20="","",VLOOKUP($C20,CTBat!$G$10:$BR$208,O$4,FALSE))</f>
        <v>6</v>
      </c>
      <c r="P20" s="37">
        <f>IF($C20="","",VLOOKUP($C20,CTBat!$G$10:$BR$208,P$4,FALSE))</f>
        <v>1</v>
      </c>
      <c r="Q20" s="37">
        <f>IF($C20="","",VLOOKUP($C20,CTBat!$G$10:$BR$208,Q$4,FALSE))</f>
        <v>2</v>
      </c>
      <c r="R20" s="37" t="str">
        <f>IF($C20="","",VLOOKUP($C20,CTBat!$G$10:$BR$208,R$4,FALSE))</f>
        <v>-</v>
      </c>
      <c r="S20" s="37" t="str">
        <f>IF($C20="","",VLOOKUP($C20,CTBat!$G$10:$BR$208,S$4,FALSE))</f>
        <v>-</v>
      </c>
      <c r="T20" s="38" t="str">
        <f>IF($C20="","",VLOOKUP($C20,CTBat!$G$10:$BR$208,T$4,FALSE))</f>
        <v>-</v>
      </c>
      <c r="U20" s="288">
        <f t="shared" ref="U20:U21" si="26">IF($C20="","",IF(OR(AD20+AG20&gt;14,AND(OR(AD20+AG20&gt;12,AND(AD20&gt;6,AG20&gt;6)),AI20&gt;6,OR(AJ20&gt;=AI20,AJ20&gt;6))),1,0))</f>
        <v>1</v>
      </c>
      <c r="V20" s="288">
        <f t="shared" ref="V20:V27" si="27">IF($C20="","",IF(OR(AND(AD20&gt;6,AH20&gt;6),AD20+AG20&gt;12),1,0))</f>
        <v>1</v>
      </c>
      <c r="W20" s="288">
        <f>IF($C20="","",IF(AND(AD20&gt;6,AF20&gt;6,AG20&gt;6),1,0))</f>
        <v>0</v>
      </c>
      <c r="X20" s="288">
        <f t="shared" ref="X20:X27" si="28">IF($C20="","",IF(AND(AF20&gt;7,OR(AD20&gt;6,AG20&gt;6)),1,0))</f>
        <v>0</v>
      </c>
      <c r="Y20" s="288">
        <f t="shared" ref="Y20:Y27" si="29">IF($C20="","",IF(AND(AF20&gt;6,OR(AD20&gt;6,AG20&gt;6)),1,0))</f>
        <v>0</v>
      </c>
      <c r="Z20" s="288">
        <f t="shared" ref="Z20:Z27" si="30">IF($C20="","",IF(AND(OR(AD20&gt;6,AF20&gt;6),OR(AD20&gt;6,AG20&gt;6)),1,0))</f>
        <v>0</v>
      </c>
      <c r="AA20" s="288">
        <f t="shared" ref="AA20:AA27" si="31">IF($C20="","",IF(AND(AD20&gt;4,OR(AD20&gt;6,AF20&gt;6,AG20&gt;6)),1,0))</f>
        <v>1</v>
      </c>
      <c r="AB20" s="288">
        <f t="shared" ref="AB20:AB27" si="32">IF($C20="","",IF(AND(AD20&gt;4,OR(AD20&gt;6,AE20&gt;6,AF20&gt;6,AG20&gt;6)),1,0))</f>
        <v>1</v>
      </c>
      <c r="AC20" s="288">
        <f t="shared" ref="AC20:AC27" si="33">IF($C20="","",IF(AND(AD20&gt;4,MAX(AD20:AH20)&gt;6),1,0))</f>
        <v>1</v>
      </c>
      <c r="AD20" s="58">
        <f>IF($C20="","",VLOOKUP($C20,CTBat!$G$10:$BR$208,AD$4,FALSE))</f>
        <v>6</v>
      </c>
      <c r="AE20" s="37">
        <f>IF($C20="","",VLOOKUP($C20,CTBat!$G$10:$BR$208,AE$4,FALSE))</f>
        <v>4</v>
      </c>
      <c r="AF20" s="37">
        <f>IF($C20="","",VLOOKUP($C20,CTBat!$G$10:$BR$208,AF$4,FALSE))</f>
        <v>3</v>
      </c>
      <c r="AG20" s="37">
        <f>IF($C20="","",VLOOKUP($C20,CTBat!$G$10:$BR$208,AG$4,FALSE))</f>
        <v>8</v>
      </c>
      <c r="AH20" s="37">
        <f>IF($C20="","",VLOOKUP($C20,CTBat!$G$10:$BR$208,AH$4,FALSE))</f>
        <v>6</v>
      </c>
      <c r="AI20" s="37">
        <f>IF($C20="","",VLOOKUP($C20,CTBat!$G$10:$BR$208,AI$4,FALSE))</f>
        <v>7</v>
      </c>
      <c r="AJ20" s="38">
        <f>IF($C20="","",VLOOKUP($C20,CTBat!$G$10:$BR$208,AJ$4,FALSE))</f>
        <v>10</v>
      </c>
      <c r="AK20" s="67">
        <f>IF($C20="","",(5*AD20+4*AF20+3*AG20+2*AE20+1*AH20+0.5*(AVERAGE(AD20:AE20))+0.5*AVERAGE(AD20,AH20)+1*(AVERAGE(AD20,AF20))+1*AVERAGE(AD20,AG20))/(5+4+3+2+1+0.5+0.5+1+1))</f>
        <v>5.3888888888888893</v>
      </c>
      <c r="AL20" s="288">
        <f t="shared" ref="AL20:AL27" si="34">IF($C20="","",IF(AND(OR(AU20+AX20&gt;12,AND(AU20&gt;6,AX20&gt;6)),AI20&gt;6,OR(AJ20&gt;=AI20,AJ20&gt;6)),1,0))</f>
        <v>1</v>
      </c>
      <c r="AM20" s="288">
        <f t="shared" ref="AM20:AM27" si="35">IF($C20="","",IF(OR(AND(AU20&gt;6,AY20&gt;6),AU20+AX20&gt;12),1,0))</f>
        <v>1</v>
      </c>
      <c r="AN20" s="288">
        <f t="shared" ref="AN20:AN27" si="36">IF($C20="","",IF(AND(AU20&gt;6,AW20&gt;6,AX20&gt;6),1,0))</f>
        <v>0</v>
      </c>
      <c r="AO20" s="288">
        <f t="shared" ref="AO20:AO27" si="37">IF($C20="","",IF(AND(AW20&gt;7,OR(AU20&gt;6,AX20&gt;6)),1,0))</f>
        <v>0</v>
      </c>
      <c r="AP20" s="288">
        <f t="shared" ref="AP20:AP27" si="38">IF($C20="","",IF(AND(AW20&gt;6,OR(AU20&gt;6,AX20&gt;6)),1,0))</f>
        <v>0</v>
      </c>
      <c r="AQ20" s="288">
        <f t="shared" ref="AQ20:AQ27" si="39">IF($C20="","",IF(AND(OR(AU20&gt;6,AW20&gt;6),OR(AU20&gt;6,AX20&gt;6)),1,0))</f>
        <v>0</v>
      </c>
      <c r="AR20" s="288">
        <f t="shared" ref="AR20:AR27" si="40">IF($C20="","",IF(AND(AU20&gt;4,OR(AU20&gt;6,AW20&gt;6,AX20&gt;6)),1,0))</f>
        <v>1</v>
      </c>
      <c r="AS20" s="288">
        <f t="shared" ref="AS20:AS27" si="41">IF($C20="","",IF(AND(AU20&gt;4,OR(AU20&gt;6,AV20&gt;6,AW20&gt;6,AX20&gt;6)),1,0))</f>
        <v>1</v>
      </c>
      <c r="AT20" s="288">
        <f t="shared" ref="AT20:AT27" si="42">IF($C20="","",IF(AND(AU20&gt;4,MAX(AU20:AY20)&gt;6),1,0))</f>
        <v>1</v>
      </c>
      <c r="AU20" s="58">
        <f>IF($C20="","",VLOOKUP($C20,CTBat!$G$10:$BR$208,AU$4,FALSE))</f>
        <v>6</v>
      </c>
      <c r="AV20" s="37">
        <f>IF($C20="","",VLOOKUP($C20,CTBat!$G$10:$BR$208,AV$4,FALSE))</f>
        <v>4</v>
      </c>
      <c r="AW20" s="37">
        <f>IF($C20="","",VLOOKUP($C20,CTBat!$G$10:$BR$208,AW$4,FALSE))</f>
        <v>3</v>
      </c>
      <c r="AX20" s="37">
        <f>IF($C20="","",VLOOKUP($C20,CTBat!$G$10:$BR$208,AX$4,FALSE))</f>
        <v>8</v>
      </c>
      <c r="AY20" s="38">
        <f>IF($C20="","",VLOOKUP($C20,CTBat!$G$10:$BR$208,AY$4,FALSE))</f>
        <v>6</v>
      </c>
      <c r="AZ20" s="67">
        <f t="shared" ref="AZ20:AZ27" si="43">IF($C20="","",(5*AU20+4*AW20+3*AX20+2*AV20+1*AY20+0.5*(AVERAGE(AU20:AV20))+0.5*AVERAGE(AU20,AY20)+1*(AVERAGE(AU20,AW20))+1*AVERAGE(AU20,AX20))/(5+4+3+2+1+0.5+0.5+1+1))</f>
        <v>5.3888888888888893</v>
      </c>
    </row>
    <row r="21" spans="1:52">
      <c r="A21">
        <v>2</v>
      </c>
      <c r="B21" s="36" t="s">
        <v>99</v>
      </c>
      <c r="C21" s="37" t="s">
        <v>572</v>
      </c>
      <c r="D21" s="37">
        <f>IF($C21="","",VLOOKUP($C21,CTBat!$G$10:$BR$208,D$4,FALSE))</f>
        <v>32</v>
      </c>
      <c r="E21" s="37" t="str">
        <f>IF($C21="","",VLOOKUP($C21,CTBat!$G$10:$BR$208,E$4,FALSE))</f>
        <v>R</v>
      </c>
      <c r="F21" s="53">
        <f t="shared" ref="F21:F27" si="44">IF($C21="","",IF(AND(O21&gt;0,O21=SUM(M21:T21)),1,0))</f>
        <v>0</v>
      </c>
      <c r="G21" s="288">
        <f t="shared" si="25"/>
        <v>1</v>
      </c>
      <c r="H21" s="288">
        <f>IF($C21="","",IF(AND(K21&gt;5,P21&lt;&gt;"-"),1,0))</f>
        <v>1</v>
      </c>
      <c r="I21" s="289" t="str">
        <f t="shared" ref="I21:I27" si="45">IF($C21="","","-")</f>
        <v>-</v>
      </c>
      <c r="J21" s="37">
        <f>IF($C21="","",VLOOKUP($C21,CTBat!$G$10:$BR$208,J$4,FALSE))</f>
        <v>1</v>
      </c>
      <c r="K21" s="37">
        <f>IF($C21="","",VLOOKUP($C21,CTBat!$G$10:$BR$208,K$4,FALSE))</f>
        <v>7</v>
      </c>
      <c r="L21" s="37">
        <f>IF($C21="","",VLOOKUP($C21,CTBat!$G$10:$BR$208,L$4,FALSE))</f>
        <v>1</v>
      </c>
      <c r="M21" s="58" t="str">
        <f>IF($C21="","",VLOOKUP($C21,CTBat!$G$10:$BR$208,M$4,FALSE))</f>
        <v>-</v>
      </c>
      <c r="N21" s="37" t="str">
        <f>IF($C21="","",VLOOKUP($C21,CTBat!$G$10:$BR$208,N$4,FALSE))</f>
        <v>-</v>
      </c>
      <c r="O21" s="37">
        <f>IF($C21="","",VLOOKUP($C21,CTBat!$G$10:$BR$208,O$4,FALSE))</f>
        <v>1</v>
      </c>
      <c r="P21" s="37">
        <f>IF($C21="","",VLOOKUP($C21,CTBat!$G$10:$BR$208,P$4,FALSE))</f>
        <v>6</v>
      </c>
      <c r="Q21" s="37">
        <f>IF($C21="","",VLOOKUP($C21,CTBat!$G$10:$BR$208,Q$4,FALSE))</f>
        <v>4</v>
      </c>
      <c r="R21" s="37" t="str">
        <f>IF($C21="","",VLOOKUP($C21,CTBat!$G$10:$BR$208,R$4,FALSE))</f>
        <v>-</v>
      </c>
      <c r="S21" s="37" t="str">
        <f>IF($C21="","",VLOOKUP($C21,CTBat!$G$10:$BR$208,S$4,FALSE))</f>
        <v>-</v>
      </c>
      <c r="T21" s="38" t="str">
        <f>IF($C21="","",VLOOKUP($C21,CTBat!$G$10:$BR$208,T$4,FALSE))</f>
        <v>-</v>
      </c>
      <c r="U21" s="288">
        <f t="shared" si="26"/>
        <v>0</v>
      </c>
      <c r="V21" s="288">
        <f t="shared" si="27"/>
        <v>1</v>
      </c>
      <c r="W21" s="288">
        <f t="shared" ref="W21:W27" si="46">IF($C21="","",IF(AND(AD21&gt;6,AF21&gt;6,AG21&gt;6),1,0))</f>
        <v>0</v>
      </c>
      <c r="X21" s="288">
        <f t="shared" si="28"/>
        <v>0</v>
      </c>
      <c r="Y21" s="288">
        <f t="shared" si="29"/>
        <v>0</v>
      </c>
      <c r="Z21" s="288">
        <f t="shared" si="30"/>
        <v>1</v>
      </c>
      <c r="AA21" s="288">
        <f t="shared" si="31"/>
        <v>1</v>
      </c>
      <c r="AB21" s="288">
        <f t="shared" si="32"/>
        <v>1</v>
      </c>
      <c r="AC21" s="288">
        <f t="shared" si="33"/>
        <v>1</v>
      </c>
      <c r="AD21" s="58">
        <f>IF($C21="","",VLOOKUP($C21,CTBat!$G$10:$BR$208,AD$4,FALSE))</f>
        <v>8</v>
      </c>
      <c r="AE21" s="37">
        <f>IF($C21="","",VLOOKUP($C21,CTBat!$G$10:$BR$208,AE$4,FALSE))</f>
        <v>6</v>
      </c>
      <c r="AF21" s="37">
        <f>IF($C21="","",VLOOKUP($C21,CTBat!$G$10:$BR$208,AF$4,FALSE))</f>
        <v>2</v>
      </c>
      <c r="AG21" s="37">
        <f>IF($C21="","",VLOOKUP($C21,CTBat!$G$10:$BR$208,AG$4,FALSE))</f>
        <v>5</v>
      </c>
      <c r="AH21" s="37">
        <f>IF($C21="","",VLOOKUP($C21,CTBat!$G$10:$BR$208,AH$4,FALSE))</f>
        <v>7</v>
      </c>
      <c r="AI21" s="37">
        <f>IF($C21="","",VLOOKUP($C21,CTBat!$G$10:$BR$208,AI$4,FALSE))</f>
        <v>3</v>
      </c>
      <c r="AJ21" s="38">
        <f>IF($C21="","",VLOOKUP($C21,CTBat!$G$10:$BR$208,AJ$4,FALSE))</f>
        <v>1</v>
      </c>
      <c r="AK21" s="67">
        <f t="shared" ref="AK21:AK27" si="47">IF($C21="","",(5*AD21+4*AF21+3*AG21+2*AE21+1*AH21+0.5*(AVERAGE(AD21:AE21))+0.5*AVERAGE(AD21,AH21)+1*(AVERAGE(AD21,AF21))+1*AVERAGE(AD21,AG21))/(5+4+3+2+1+0.5+0.5+1+1))</f>
        <v>5.5972222222222223</v>
      </c>
      <c r="AL21" s="288">
        <f t="shared" si="34"/>
        <v>0</v>
      </c>
      <c r="AM21" s="288">
        <f t="shared" si="35"/>
        <v>1</v>
      </c>
      <c r="AN21" s="288">
        <f t="shared" si="36"/>
        <v>0</v>
      </c>
      <c r="AO21" s="288">
        <f t="shared" si="37"/>
        <v>0</v>
      </c>
      <c r="AP21" s="288">
        <f t="shared" si="38"/>
        <v>0</v>
      </c>
      <c r="AQ21" s="288">
        <f t="shared" si="39"/>
        <v>1</v>
      </c>
      <c r="AR21" s="288">
        <f t="shared" si="40"/>
        <v>1</v>
      </c>
      <c r="AS21" s="288">
        <f t="shared" si="41"/>
        <v>1</v>
      </c>
      <c r="AT21" s="288">
        <f t="shared" si="42"/>
        <v>1</v>
      </c>
      <c r="AU21" s="58">
        <f>IF($C21="","",VLOOKUP($C21,CTBat!$G$10:$BR$208,AU$4,FALSE))</f>
        <v>8</v>
      </c>
      <c r="AV21" s="37">
        <f>IF($C21="","",VLOOKUP($C21,CTBat!$G$10:$BR$208,AV$4,FALSE))</f>
        <v>6</v>
      </c>
      <c r="AW21" s="37">
        <f>IF($C21="","",VLOOKUP($C21,CTBat!$G$10:$BR$208,AW$4,FALSE))</f>
        <v>2</v>
      </c>
      <c r="AX21" s="37">
        <f>IF($C21="","",VLOOKUP($C21,CTBat!$G$10:$BR$208,AX$4,FALSE))</f>
        <v>6</v>
      </c>
      <c r="AY21" s="38">
        <f>IF($C21="","",VLOOKUP($C21,CTBat!$G$10:$BR$208,AY$4,FALSE))</f>
        <v>7</v>
      </c>
      <c r="AZ21" s="67">
        <f t="shared" si="43"/>
        <v>5.791666666666667</v>
      </c>
    </row>
    <row r="22" spans="1:52">
      <c r="A22">
        <v>3</v>
      </c>
      <c r="B22" s="36" t="s">
        <v>100</v>
      </c>
      <c r="C22" s="37" t="s">
        <v>569</v>
      </c>
      <c r="D22" s="37">
        <f>IF($C22="","",VLOOKUP($C22,CTBat!$G$10:$BR$208,D$4,FALSE))</f>
        <v>30</v>
      </c>
      <c r="E22" s="37" t="str">
        <f>IF($C22="","",VLOOKUP($C22,CTBat!$G$10:$BR$208,E$4,FALSE))</f>
        <v>R</v>
      </c>
      <c r="F22" s="53">
        <f t="shared" si="44"/>
        <v>0</v>
      </c>
      <c r="G22" s="288">
        <f t="shared" si="25"/>
        <v>1</v>
      </c>
      <c r="H22" s="288">
        <f t="shared" ref="H22:H27" si="48">IF($C22="","",IF(AND(K22&gt;5,P22&lt;&gt;"-"),1,0))</f>
        <v>1</v>
      </c>
      <c r="I22" s="289" t="str">
        <f t="shared" si="45"/>
        <v>-</v>
      </c>
      <c r="J22" s="37">
        <f>IF($C22="","",VLOOKUP($C22,CTBat!$G$10:$BR$208,J$4,FALSE))</f>
        <v>1</v>
      </c>
      <c r="K22" s="37">
        <f>IF($C22="","",VLOOKUP($C22,CTBat!$G$10:$BR$208,K$4,FALSE))</f>
        <v>8</v>
      </c>
      <c r="L22" s="37">
        <f>IF($C22="","",VLOOKUP($C22,CTBat!$G$10:$BR$208,L$4,FALSE))</f>
        <v>5</v>
      </c>
      <c r="M22" s="58" t="str">
        <f>IF($C22="","",VLOOKUP($C22,CTBat!$G$10:$BR$208,M$4,FALSE))</f>
        <v>-</v>
      </c>
      <c r="N22" s="37">
        <f>IF($C22="","",VLOOKUP($C22,CTBat!$G$10:$BR$208,N$4,FALSE))</f>
        <v>2</v>
      </c>
      <c r="O22" s="37">
        <f>IF($C22="","",VLOOKUP($C22,CTBat!$G$10:$BR$208,O$4,FALSE))</f>
        <v>6</v>
      </c>
      <c r="P22" s="37">
        <f>IF($C22="","",VLOOKUP($C22,CTBat!$G$10:$BR$208,P$4,FALSE))</f>
        <v>8</v>
      </c>
      <c r="Q22" s="37">
        <f>IF($C22="","",VLOOKUP($C22,CTBat!$G$10:$BR$208,Q$4,FALSE))</f>
        <v>7</v>
      </c>
      <c r="R22" s="37">
        <f>IF($C22="","",VLOOKUP($C22,CTBat!$G$10:$BR$208,R$4,FALSE))</f>
        <v>1</v>
      </c>
      <c r="S22" s="37" t="str">
        <f>IF($C22="","",VLOOKUP($C22,CTBat!$G$10:$BR$208,S$4,FALSE))</f>
        <v>-</v>
      </c>
      <c r="T22" s="38" t="str">
        <f>IF($C22="","",VLOOKUP($C22,CTBat!$G$10:$BR$208,T$4,FALSE))</f>
        <v>-</v>
      </c>
      <c r="U22" s="288">
        <f>IF($C22="","",IF(OR(AD22+AG22&gt;14,AND(OR(AD22+AG22&gt;12,AND(AD22&gt;6,AG22&gt;6)),AI22&gt;6,OR(AJ22&gt;=AI22,AJ22&gt;6))),1,0))</f>
        <v>0</v>
      </c>
      <c r="V22" s="288">
        <f t="shared" si="27"/>
        <v>1</v>
      </c>
      <c r="W22" s="288">
        <f t="shared" si="46"/>
        <v>0</v>
      </c>
      <c r="X22" s="288">
        <f t="shared" si="28"/>
        <v>0</v>
      </c>
      <c r="Y22" s="288">
        <f t="shared" si="29"/>
        <v>0</v>
      </c>
      <c r="Z22" s="288">
        <f t="shared" si="30"/>
        <v>1</v>
      </c>
      <c r="AA22" s="288">
        <f t="shared" si="31"/>
        <v>1</v>
      </c>
      <c r="AB22" s="288">
        <f t="shared" si="32"/>
        <v>1</v>
      </c>
      <c r="AC22" s="288">
        <f t="shared" si="33"/>
        <v>1</v>
      </c>
      <c r="AD22" s="58">
        <f>IF($C22="","",VLOOKUP($C22,CTBat!$G$10:$BR$208,AD$4,FALSE))</f>
        <v>7</v>
      </c>
      <c r="AE22" s="37">
        <f>IF($C22="","",VLOOKUP($C22,CTBat!$G$10:$BR$208,AE$4,FALSE))</f>
        <v>6</v>
      </c>
      <c r="AF22" s="37">
        <f>IF($C22="","",VLOOKUP($C22,CTBat!$G$10:$BR$208,AF$4,FALSE))</f>
        <v>3</v>
      </c>
      <c r="AG22" s="37">
        <f>IF($C22="","",VLOOKUP($C22,CTBat!$G$10:$BR$208,AG$4,FALSE))</f>
        <v>6</v>
      </c>
      <c r="AH22" s="37">
        <f>IF($C22="","",VLOOKUP($C22,CTBat!$G$10:$BR$208,AH$4,FALSE))</f>
        <v>6</v>
      </c>
      <c r="AI22" s="37">
        <f>IF($C22="","",VLOOKUP($C22,CTBat!$G$10:$BR$208,AI$4,FALSE))</f>
        <v>5</v>
      </c>
      <c r="AJ22" s="38">
        <f>IF($C22="","",VLOOKUP($C22,CTBat!$G$10:$BR$208,AJ$4,FALSE))</f>
        <v>4</v>
      </c>
      <c r="AK22" s="67">
        <f t="shared" si="47"/>
        <v>5.6111111111111107</v>
      </c>
      <c r="AL22" s="288">
        <f t="shared" si="34"/>
        <v>0</v>
      </c>
      <c r="AM22" s="288">
        <f t="shared" si="35"/>
        <v>1</v>
      </c>
      <c r="AN22" s="288">
        <f t="shared" si="36"/>
        <v>0</v>
      </c>
      <c r="AO22" s="288">
        <f t="shared" si="37"/>
        <v>0</v>
      </c>
      <c r="AP22" s="288">
        <f t="shared" si="38"/>
        <v>0</v>
      </c>
      <c r="AQ22" s="288">
        <f t="shared" si="39"/>
        <v>1</v>
      </c>
      <c r="AR22" s="288">
        <f t="shared" si="40"/>
        <v>1</v>
      </c>
      <c r="AS22" s="288">
        <f t="shared" si="41"/>
        <v>1</v>
      </c>
      <c r="AT22" s="288">
        <f t="shared" si="42"/>
        <v>1</v>
      </c>
      <c r="AU22" s="58">
        <f>IF($C22="","",VLOOKUP($C22,CTBat!$G$10:$BR$208,AU$4,FALSE))</f>
        <v>7</v>
      </c>
      <c r="AV22" s="37">
        <f>IF($C22="","",VLOOKUP($C22,CTBat!$G$10:$BR$208,AV$4,FALSE))</f>
        <v>6</v>
      </c>
      <c r="AW22" s="37">
        <f>IF($C22="","",VLOOKUP($C22,CTBat!$G$10:$BR$208,AW$4,FALSE))</f>
        <v>3</v>
      </c>
      <c r="AX22" s="37">
        <f>IF($C22="","",VLOOKUP($C22,CTBat!$G$10:$BR$208,AX$4,FALSE))</f>
        <v>6</v>
      </c>
      <c r="AY22" s="38">
        <f>IF($C22="","",VLOOKUP($C22,CTBat!$G$10:$BR$208,AY$4,FALSE))</f>
        <v>6</v>
      </c>
      <c r="AZ22" s="67">
        <f t="shared" si="43"/>
        <v>5.6111111111111107</v>
      </c>
    </row>
    <row r="23" spans="1:52">
      <c r="A23">
        <v>4</v>
      </c>
      <c r="B23" s="36" t="s">
        <v>104</v>
      </c>
      <c r="C23" s="37" t="s">
        <v>200</v>
      </c>
      <c r="D23" s="37">
        <f>IF($C23="","",VLOOKUP($C23,CTBat!$G$10:$BR$208,D$4,FALSE))</f>
        <v>28</v>
      </c>
      <c r="E23" s="37" t="str">
        <f>IF($C23="","",VLOOKUP($C23,CTBat!$G$10:$BR$208,E$4,FALSE))</f>
        <v>R</v>
      </c>
      <c r="F23" s="53">
        <f t="shared" si="44"/>
        <v>0</v>
      </c>
      <c r="G23" s="288">
        <f t="shared" si="25"/>
        <v>1</v>
      </c>
      <c r="H23" s="288">
        <f t="shared" si="48"/>
        <v>0</v>
      </c>
      <c r="I23" s="289" t="str">
        <f t="shared" si="45"/>
        <v>-</v>
      </c>
      <c r="J23" s="37">
        <f>IF($C23="","",VLOOKUP($C23,CTBat!$G$10:$BR$208,J$4,FALSE))</f>
        <v>1</v>
      </c>
      <c r="K23" s="37">
        <f>IF($C23="","",VLOOKUP($C23,CTBat!$G$10:$BR$208,K$4,FALSE))</f>
        <v>4</v>
      </c>
      <c r="L23" s="37">
        <f>IF($C23="","",VLOOKUP($C23,CTBat!$G$10:$BR$208,L$4,FALSE))</f>
        <v>1</v>
      </c>
      <c r="M23" s="58" t="str">
        <f>IF($C23="","",VLOOKUP($C23,CTBat!$G$10:$BR$208,M$4,FALSE))</f>
        <v>-</v>
      </c>
      <c r="N23" s="37" t="str">
        <f>IF($C23="","",VLOOKUP($C23,CTBat!$G$10:$BR$208,N$4,FALSE))</f>
        <v>-</v>
      </c>
      <c r="O23" s="37">
        <f>IF($C23="","",VLOOKUP($C23,CTBat!$G$10:$BR$208,O$4,FALSE))</f>
        <v>9</v>
      </c>
      <c r="P23" s="37">
        <f>IF($C23="","",VLOOKUP($C23,CTBat!$G$10:$BR$208,P$4,FALSE))</f>
        <v>2</v>
      </c>
      <c r="Q23" s="37">
        <f>IF($C23="","",VLOOKUP($C23,CTBat!$G$10:$BR$208,Q$4,FALSE))</f>
        <v>7</v>
      </c>
      <c r="R23" s="37" t="str">
        <f>IF($C23="","",VLOOKUP($C23,CTBat!$G$10:$BR$208,R$4,FALSE))</f>
        <v>-</v>
      </c>
      <c r="S23" s="37" t="str">
        <f>IF($C23="","",VLOOKUP($C23,CTBat!$G$10:$BR$208,S$4,FALSE))</f>
        <v>-</v>
      </c>
      <c r="T23" s="38" t="str">
        <f>IF($C23="","",VLOOKUP($C23,CTBat!$G$10:$BR$208,T$4,FALSE))</f>
        <v>-</v>
      </c>
      <c r="U23" s="288">
        <f t="shared" ref="U23:U27" si="49">IF($C23="","",IF(OR(AD23+AG23&gt;14,AND(OR(AD23+AG23&gt;12,AND(AD23&gt;6,AG23&gt;6)),AI23&gt;6,OR(AJ23&gt;=AI23,AJ23&gt;6))),1,0))</f>
        <v>0</v>
      </c>
      <c r="V23" s="288">
        <f t="shared" si="27"/>
        <v>1</v>
      </c>
      <c r="W23" s="288">
        <f t="shared" si="46"/>
        <v>0</v>
      </c>
      <c r="X23" s="288">
        <f t="shared" si="28"/>
        <v>0</v>
      </c>
      <c r="Y23" s="288">
        <f t="shared" si="29"/>
        <v>0</v>
      </c>
      <c r="Z23" s="288">
        <f t="shared" si="30"/>
        <v>1</v>
      </c>
      <c r="AA23" s="288">
        <f t="shared" si="31"/>
        <v>1</v>
      </c>
      <c r="AB23" s="288">
        <f t="shared" si="32"/>
        <v>1</v>
      </c>
      <c r="AC23" s="288">
        <f t="shared" si="33"/>
        <v>1</v>
      </c>
      <c r="AD23" s="58">
        <f>IF($C23="","",VLOOKUP($C23,CTBat!$G$10:$BR$208,AD$4,FALSE))</f>
        <v>7</v>
      </c>
      <c r="AE23" s="37">
        <f>IF($C23="","",VLOOKUP($C23,CTBat!$G$10:$BR$208,AE$4,FALSE))</f>
        <v>7</v>
      </c>
      <c r="AF23" s="37">
        <f>IF($C23="","",VLOOKUP($C23,CTBat!$G$10:$BR$208,AF$4,FALSE))</f>
        <v>4</v>
      </c>
      <c r="AG23" s="37">
        <f>IF($C23="","",VLOOKUP($C23,CTBat!$G$10:$BR$208,AG$4,FALSE))</f>
        <v>6</v>
      </c>
      <c r="AH23" s="37">
        <f>IF($C23="","",VLOOKUP($C23,CTBat!$G$10:$BR$208,AH$4,FALSE))</f>
        <v>8</v>
      </c>
      <c r="AI23" s="37">
        <f>IF($C23="","",VLOOKUP($C23,CTBat!$G$10:$BR$208,AI$4,FALSE))</f>
        <v>3</v>
      </c>
      <c r="AJ23" s="38">
        <f>IF($C23="","",VLOOKUP($C23,CTBat!$G$10:$BR$208,AJ$4,FALSE))</f>
        <v>7</v>
      </c>
      <c r="AK23" s="67">
        <f t="shared" si="47"/>
        <v>6.125</v>
      </c>
      <c r="AL23" s="288">
        <f t="shared" si="34"/>
        <v>0</v>
      </c>
      <c r="AM23" s="288">
        <f t="shared" si="35"/>
        <v>1</v>
      </c>
      <c r="AN23" s="288">
        <f t="shared" si="36"/>
        <v>0</v>
      </c>
      <c r="AO23" s="288">
        <f t="shared" si="37"/>
        <v>0</v>
      </c>
      <c r="AP23" s="288">
        <f t="shared" si="38"/>
        <v>0</v>
      </c>
      <c r="AQ23" s="288">
        <f t="shared" si="39"/>
        <v>1</v>
      </c>
      <c r="AR23" s="288">
        <f t="shared" si="40"/>
        <v>1</v>
      </c>
      <c r="AS23" s="288">
        <f t="shared" si="41"/>
        <v>1</v>
      </c>
      <c r="AT23" s="288">
        <f t="shared" si="42"/>
        <v>1</v>
      </c>
      <c r="AU23" s="58">
        <f>IF($C23="","",VLOOKUP($C23,CTBat!$G$10:$BR$208,AU$4,FALSE))</f>
        <v>7</v>
      </c>
      <c r="AV23" s="37">
        <f>IF($C23="","",VLOOKUP($C23,CTBat!$G$10:$BR$208,AV$4,FALSE))</f>
        <v>7</v>
      </c>
      <c r="AW23" s="37">
        <f>IF($C23="","",VLOOKUP($C23,CTBat!$G$10:$BR$208,AW$4,FALSE))</f>
        <v>4</v>
      </c>
      <c r="AX23" s="37">
        <f>IF($C23="","",VLOOKUP($C23,CTBat!$G$10:$BR$208,AX$4,FALSE))</f>
        <v>7</v>
      </c>
      <c r="AY23" s="38">
        <f>IF($C23="","",VLOOKUP($C23,CTBat!$G$10:$BR$208,AY$4,FALSE))</f>
        <v>8</v>
      </c>
      <c r="AZ23" s="67">
        <f t="shared" si="43"/>
        <v>6.3194444444444446</v>
      </c>
    </row>
    <row r="24" spans="1:52">
      <c r="A24">
        <v>5</v>
      </c>
      <c r="B24" s="36" t="s">
        <v>104</v>
      </c>
      <c r="C24" s="65" t="s">
        <v>432</v>
      </c>
      <c r="D24" s="37">
        <f>IF($C24="","",VLOOKUP($C24,CTBat!$G$10:$BR$208,D$4,FALSE))</f>
        <v>28</v>
      </c>
      <c r="E24" s="37" t="str">
        <f>IF($C24="","",VLOOKUP($C24,CTBat!$G$10:$BR$208,E$4,FALSE))</f>
        <v>R</v>
      </c>
      <c r="F24" s="53">
        <f t="shared" si="44"/>
        <v>0</v>
      </c>
      <c r="G24" s="288">
        <f t="shared" si="25"/>
        <v>1</v>
      </c>
      <c r="H24" s="288">
        <f t="shared" si="48"/>
        <v>0</v>
      </c>
      <c r="I24" s="289" t="str">
        <f t="shared" si="45"/>
        <v>-</v>
      </c>
      <c r="J24" s="37">
        <f>IF($C24="","",VLOOKUP($C24,CTBat!$G$10:$BR$208,J$4,FALSE))</f>
        <v>1</v>
      </c>
      <c r="K24" s="37">
        <f>IF($C24="","",VLOOKUP($C24,CTBat!$G$10:$BR$208,K$4,FALSE))</f>
        <v>4</v>
      </c>
      <c r="L24" s="37">
        <f>IF($C24="","",VLOOKUP($C24,CTBat!$G$10:$BR$208,L$4,FALSE))</f>
        <v>2</v>
      </c>
      <c r="M24" s="58" t="str">
        <f>IF($C24="","",VLOOKUP($C24,CTBat!$G$10:$BR$208,M$4,FALSE))</f>
        <v>-</v>
      </c>
      <c r="N24" s="37">
        <f>IF($C24="","",VLOOKUP($C24,CTBat!$G$10:$BR$208,N$4,FALSE))</f>
        <v>10</v>
      </c>
      <c r="O24" s="37">
        <f>IF($C24="","",VLOOKUP($C24,CTBat!$G$10:$BR$208,O$4,FALSE))</f>
        <v>8</v>
      </c>
      <c r="P24" s="37">
        <f>IF($C24="","",VLOOKUP($C24,CTBat!$G$10:$BR$208,P$4,FALSE))</f>
        <v>7</v>
      </c>
      <c r="Q24" s="37">
        <f>IF($C24="","",VLOOKUP($C24,CTBat!$G$10:$BR$208,Q$4,FALSE))</f>
        <v>7</v>
      </c>
      <c r="R24" s="37">
        <f>IF($C24="","",VLOOKUP($C24,CTBat!$G$10:$BR$208,R$4,FALSE))</f>
        <v>1</v>
      </c>
      <c r="S24" s="37" t="str">
        <f>IF($C24="","",VLOOKUP($C24,CTBat!$G$10:$BR$208,S$4,FALSE))</f>
        <v>-</v>
      </c>
      <c r="T24" s="38" t="str">
        <f>IF($C24="","",VLOOKUP($C24,CTBat!$G$10:$BR$208,T$4,FALSE))</f>
        <v>-</v>
      </c>
      <c r="U24" s="288">
        <f t="shared" si="49"/>
        <v>0</v>
      </c>
      <c r="V24" s="288">
        <f t="shared" si="27"/>
        <v>1</v>
      </c>
      <c r="W24" s="288">
        <f t="shared" si="46"/>
        <v>0</v>
      </c>
      <c r="X24" s="288">
        <f t="shared" si="28"/>
        <v>0</v>
      </c>
      <c r="Y24" s="288">
        <f t="shared" si="29"/>
        <v>0</v>
      </c>
      <c r="Z24" s="288">
        <f t="shared" si="30"/>
        <v>0</v>
      </c>
      <c r="AA24" s="288">
        <f t="shared" si="31"/>
        <v>1</v>
      </c>
      <c r="AB24" s="288">
        <f t="shared" si="32"/>
        <v>1</v>
      </c>
      <c r="AC24" s="288">
        <f t="shared" si="33"/>
        <v>1</v>
      </c>
      <c r="AD24" s="58">
        <f>IF($C24="","",VLOOKUP($C24,CTBat!$G$10:$BR$208,AD$4,FALSE))</f>
        <v>5</v>
      </c>
      <c r="AE24" s="37">
        <f>IF($C24="","",VLOOKUP($C24,CTBat!$G$10:$BR$208,AE$4,FALSE))</f>
        <v>7</v>
      </c>
      <c r="AF24" s="37">
        <f>IF($C24="","",VLOOKUP($C24,CTBat!$G$10:$BR$208,AF$4,FALSE))</f>
        <v>2</v>
      </c>
      <c r="AG24" s="37">
        <f>IF($C24="","",VLOOKUP($C24,CTBat!$G$10:$BR$208,AG$4,FALSE))</f>
        <v>8</v>
      </c>
      <c r="AH24" s="37">
        <f>IF($C24="","",VLOOKUP($C24,CTBat!$G$10:$BR$208,AH$4,FALSE))</f>
        <v>4</v>
      </c>
      <c r="AI24" s="37">
        <f>IF($C24="","",VLOOKUP($C24,CTBat!$G$10:$BR$208,AI$4,FALSE))</f>
        <v>6</v>
      </c>
      <c r="AJ24" s="38">
        <f>IF($C24="","",VLOOKUP($C24,CTBat!$G$10:$BR$208,AJ$4,FALSE))</f>
        <v>5</v>
      </c>
      <c r="AK24" s="67">
        <f t="shared" si="47"/>
        <v>5.0138888888888893</v>
      </c>
      <c r="AL24" s="288">
        <f t="shared" si="34"/>
        <v>0</v>
      </c>
      <c r="AM24" s="288">
        <f t="shared" si="35"/>
        <v>1</v>
      </c>
      <c r="AN24" s="288">
        <f t="shared" si="36"/>
        <v>0</v>
      </c>
      <c r="AO24" s="288">
        <f t="shared" si="37"/>
        <v>0</v>
      </c>
      <c r="AP24" s="288">
        <f t="shared" si="38"/>
        <v>0</v>
      </c>
      <c r="AQ24" s="288">
        <f t="shared" si="39"/>
        <v>0</v>
      </c>
      <c r="AR24" s="288">
        <f t="shared" si="40"/>
        <v>1</v>
      </c>
      <c r="AS24" s="288">
        <f t="shared" si="41"/>
        <v>1</v>
      </c>
      <c r="AT24" s="288">
        <f t="shared" si="42"/>
        <v>1</v>
      </c>
      <c r="AU24" s="58">
        <f>IF($C24="","",VLOOKUP($C24,CTBat!$G$10:$BR$208,AU$4,FALSE))</f>
        <v>5</v>
      </c>
      <c r="AV24" s="37">
        <f>IF($C24="","",VLOOKUP($C24,CTBat!$G$10:$BR$208,AV$4,FALSE))</f>
        <v>7</v>
      </c>
      <c r="AW24" s="37">
        <f>IF($C24="","",VLOOKUP($C24,CTBat!$G$10:$BR$208,AW$4,FALSE))</f>
        <v>2</v>
      </c>
      <c r="AX24" s="37">
        <f>IF($C24="","",VLOOKUP($C24,CTBat!$G$10:$BR$208,AX$4,FALSE))</f>
        <v>8</v>
      </c>
      <c r="AY24" s="38">
        <f>IF($C24="","",VLOOKUP($C24,CTBat!$G$10:$BR$208,AY$4,FALSE))</f>
        <v>4</v>
      </c>
      <c r="AZ24" s="67">
        <f t="shared" si="43"/>
        <v>5.0138888888888893</v>
      </c>
    </row>
    <row r="25" spans="1:52">
      <c r="A25">
        <v>6</v>
      </c>
      <c r="B25" s="36" t="s">
        <v>104</v>
      </c>
      <c r="C25" s="65"/>
      <c r="D25" s="37" t="str">
        <f>IF($C25="","",VLOOKUP($C25,CTBat!$G$10:$BR$208,D$4,FALSE))</f>
        <v/>
      </c>
      <c r="E25" s="37" t="str">
        <f>IF($C25="","",VLOOKUP($C25,CTBat!$G$10:$BR$208,E$4,FALSE))</f>
        <v/>
      </c>
      <c r="F25" s="53" t="str">
        <f t="shared" si="44"/>
        <v/>
      </c>
      <c r="G25" s="288" t="str">
        <f t="shared" si="25"/>
        <v/>
      </c>
      <c r="H25" s="288" t="str">
        <f t="shared" si="48"/>
        <v/>
      </c>
      <c r="I25" s="289" t="str">
        <f t="shared" si="45"/>
        <v/>
      </c>
      <c r="J25" s="37" t="str">
        <f>IF($C25="","",VLOOKUP($C25,CTBat!$G$10:$BR$208,J$4,FALSE))</f>
        <v/>
      </c>
      <c r="K25" s="37" t="str">
        <f>IF($C25="","",VLOOKUP($C25,CTBat!$G$10:$BR$208,K$4,FALSE))</f>
        <v/>
      </c>
      <c r="L25" s="37" t="str">
        <f>IF($C25="","",VLOOKUP($C25,CTBat!$G$10:$BR$208,L$4,FALSE))</f>
        <v/>
      </c>
      <c r="M25" s="58" t="str">
        <f>IF($C25="","",VLOOKUP($C25,CTBat!$G$10:$BR$208,M$4,FALSE))</f>
        <v/>
      </c>
      <c r="N25" s="37" t="str">
        <f>IF($C25="","",VLOOKUP($C25,CTBat!$G$10:$BR$208,N$4,FALSE))</f>
        <v/>
      </c>
      <c r="O25" s="37" t="str">
        <f>IF($C25="","",VLOOKUP($C25,CTBat!$G$10:$BR$208,O$4,FALSE))</f>
        <v/>
      </c>
      <c r="P25" s="37" t="str">
        <f>IF($C25="","",VLOOKUP($C25,CTBat!$G$10:$BR$208,P$4,FALSE))</f>
        <v/>
      </c>
      <c r="Q25" s="37" t="str">
        <f>IF($C25="","",VLOOKUP($C25,CTBat!$G$10:$BR$208,Q$4,FALSE))</f>
        <v/>
      </c>
      <c r="R25" s="37" t="str">
        <f>IF($C25="","",VLOOKUP($C25,CTBat!$G$10:$BR$208,R$4,FALSE))</f>
        <v/>
      </c>
      <c r="S25" s="37" t="str">
        <f>IF($C25="","",VLOOKUP($C25,CTBat!$G$10:$BR$208,S$4,FALSE))</f>
        <v/>
      </c>
      <c r="T25" s="38" t="str">
        <f>IF($C25="","",VLOOKUP($C25,CTBat!$G$10:$BR$208,T$4,FALSE))</f>
        <v/>
      </c>
      <c r="U25" s="288" t="str">
        <f t="shared" si="49"/>
        <v/>
      </c>
      <c r="V25" s="288" t="str">
        <f t="shared" si="27"/>
        <v/>
      </c>
      <c r="W25" s="288" t="str">
        <f t="shared" si="46"/>
        <v/>
      </c>
      <c r="X25" s="288" t="str">
        <f t="shared" si="28"/>
        <v/>
      </c>
      <c r="Y25" s="288" t="str">
        <f t="shared" si="29"/>
        <v/>
      </c>
      <c r="Z25" s="288" t="str">
        <f t="shared" si="30"/>
        <v/>
      </c>
      <c r="AA25" s="288" t="str">
        <f t="shared" si="31"/>
        <v/>
      </c>
      <c r="AB25" s="288" t="str">
        <f t="shared" si="32"/>
        <v/>
      </c>
      <c r="AC25" s="288" t="str">
        <f t="shared" si="33"/>
        <v/>
      </c>
      <c r="AD25" s="58" t="str">
        <f>IF($C25="","",VLOOKUP($C25,CTBat!$G$10:$BR$208,AD$4,FALSE))</f>
        <v/>
      </c>
      <c r="AE25" s="37" t="str">
        <f>IF($C25="","",VLOOKUP($C25,CTBat!$G$10:$BR$208,AE$4,FALSE))</f>
        <v/>
      </c>
      <c r="AF25" s="37" t="str">
        <f>IF($C25="","",VLOOKUP($C25,CTBat!$G$10:$BR$208,AF$4,FALSE))</f>
        <v/>
      </c>
      <c r="AG25" s="37" t="str">
        <f>IF($C25="","",VLOOKUP($C25,CTBat!$G$10:$BR$208,AG$4,FALSE))</f>
        <v/>
      </c>
      <c r="AH25" s="37" t="str">
        <f>IF($C25="","",VLOOKUP($C25,CTBat!$G$10:$BR$208,AH$4,FALSE))</f>
        <v/>
      </c>
      <c r="AI25" s="37" t="str">
        <f>IF($C25="","",VLOOKUP($C25,CTBat!$G$10:$BR$208,AI$4,FALSE))</f>
        <v/>
      </c>
      <c r="AJ25" s="38" t="str">
        <f>IF($C25="","",VLOOKUP($C25,CTBat!$G$10:$BR$208,AJ$4,FALSE))</f>
        <v/>
      </c>
      <c r="AK25" s="67" t="str">
        <f t="shared" si="47"/>
        <v/>
      </c>
      <c r="AL25" s="288" t="str">
        <f t="shared" si="34"/>
        <v/>
      </c>
      <c r="AM25" s="288" t="str">
        <f t="shared" si="35"/>
        <v/>
      </c>
      <c r="AN25" s="288" t="str">
        <f t="shared" si="36"/>
        <v/>
      </c>
      <c r="AO25" s="288" t="str">
        <f t="shared" si="37"/>
        <v/>
      </c>
      <c r="AP25" s="288" t="str">
        <f t="shared" si="38"/>
        <v/>
      </c>
      <c r="AQ25" s="288" t="str">
        <f t="shared" si="39"/>
        <v/>
      </c>
      <c r="AR25" s="288" t="str">
        <f t="shared" si="40"/>
        <v/>
      </c>
      <c r="AS25" s="288" t="str">
        <f t="shared" si="41"/>
        <v/>
      </c>
      <c r="AT25" s="288" t="str">
        <f t="shared" si="42"/>
        <v/>
      </c>
      <c r="AU25" s="58" t="str">
        <f>IF($C25="","",VLOOKUP($C25,CTBat!$G$10:$BR$208,AU$4,FALSE))</f>
        <v/>
      </c>
      <c r="AV25" s="37" t="str">
        <f>IF($C25="","",VLOOKUP($C25,CTBat!$G$10:$BR$208,AV$4,FALSE))</f>
        <v/>
      </c>
      <c r="AW25" s="37" t="str">
        <f>IF($C25="","",VLOOKUP($C25,CTBat!$G$10:$BR$208,AW$4,FALSE))</f>
        <v/>
      </c>
      <c r="AX25" s="37" t="str">
        <f>IF($C25="","",VLOOKUP($C25,CTBat!$G$10:$BR$208,AX$4,FALSE))</f>
        <v/>
      </c>
      <c r="AY25" s="38" t="str">
        <f>IF($C25="","",VLOOKUP($C25,CTBat!$G$10:$BR$208,AY$4,FALSE))</f>
        <v/>
      </c>
      <c r="AZ25" s="67" t="str">
        <f t="shared" si="43"/>
        <v/>
      </c>
    </row>
    <row r="26" spans="1:52">
      <c r="A26">
        <v>7</v>
      </c>
      <c r="B26" s="36" t="s">
        <v>104</v>
      </c>
      <c r="C26" s="65"/>
      <c r="D26" s="37" t="str">
        <f>IF($C26="","",VLOOKUP($C26,CTBat!$G$10:$BR$208,D$4,FALSE))</f>
        <v/>
      </c>
      <c r="E26" s="37" t="str">
        <f>IF($C26="","",VLOOKUP($C26,CTBat!$G$10:$BR$208,E$4,FALSE))</f>
        <v/>
      </c>
      <c r="F26" s="53" t="str">
        <f t="shared" si="44"/>
        <v/>
      </c>
      <c r="G26" s="288" t="str">
        <f t="shared" si="25"/>
        <v/>
      </c>
      <c r="H26" s="288" t="str">
        <f t="shared" si="48"/>
        <v/>
      </c>
      <c r="I26" s="289" t="str">
        <f t="shared" si="45"/>
        <v/>
      </c>
      <c r="J26" s="37" t="str">
        <f>IF($C26="","",VLOOKUP($C26,CTBat!$G$10:$BR$208,J$4,FALSE))</f>
        <v/>
      </c>
      <c r="K26" s="37" t="str">
        <f>IF($C26="","",VLOOKUP($C26,CTBat!$G$10:$BR$208,K$4,FALSE))</f>
        <v/>
      </c>
      <c r="L26" s="37" t="str">
        <f>IF($C26="","",VLOOKUP($C26,CTBat!$G$10:$BR$208,L$4,FALSE))</f>
        <v/>
      </c>
      <c r="M26" s="58" t="str">
        <f>IF($C26="","",VLOOKUP($C26,CTBat!$G$10:$BR$208,M$4,FALSE))</f>
        <v/>
      </c>
      <c r="N26" s="37" t="str">
        <f>IF($C26="","",VLOOKUP($C26,CTBat!$G$10:$BR$208,N$4,FALSE))</f>
        <v/>
      </c>
      <c r="O26" s="37" t="str">
        <f>IF($C26="","",VLOOKUP($C26,CTBat!$G$10:$BR$208,O$4,FALSE))</f>
        <v/>
      </c>
      <c r="P26" s="37" t="str">
        <f>IF($C26="","",VLOOKUP($C26,CTBat!$G$10:$BR$208,P$4,FALSE))</f>
        <v/>
      </c>
      <c r="Q26" s="37" t="str">
        <f>IF($C26="","",VLOOKUP($C26,CTBat!$G$10:$BR$208,Q$4,FALSE))</f>
        <v/>
      </c>
      <c r="R26" s="37" t="str">
        <f>IF($C26="","",VLOOKUP($C26,CTBat!$G$10:$BR$208,R$4,FALSE))</f>
        <v/>
      </c>
      <c r="S26" s="37" t="str">
        <f>IF($C26="","",VLOOKUP($C26,CTBat!$G$10:$BR$208,S$4,FALSE))</f>
        <v/>
      </c>
      <c r="T26" s="38" t="str">
        <f>IF($C26="","",VLOOKUP($C26,CTBat!$G$10:$BR$208,T$4,FALSE))</f>
        <v/>
      </c>
      <c r="U26" s="288" t="str">
        <f t="shared" si="49"/>
        <v/>
      </c>
      <c r="V26" s="288" t="str">
        <f t="shared" si="27"/>
        <v/>
      </c>
      <c r="W26" s="288" t="str">
        <f t="shared" si="46"/>
        <v/>
      </c>
      <c r="X26" s="288" t="str">
        <f t="shared" si="28"/>
        <v/>
      </c>
      <c r="Y26" s="288" t="str">
        <f t="shared" si="29"/>
        <v/>
      </c>
      <c r="Z26" s="288" t="str">
        <f t="shared" si="30"/>
        <v/>
      </c>
      <c r="AA26" s="288" t="str">
        <f t="shared" si="31"/>
        <v/>
      </c>
      <c r="AB26" s="288" t="str">
        <f t="shared" si="32"/>
        <v/>
      </c>
      <c r="AC26" s="288" t="str">
        <f t="shared" si="33"/>
        <v/>
      </c>
      <c r="AD26" s="58" t="str">
        <f>IF($C26="","",VLOOKUP($C26,CTBat!$G$10:$BR$208,AD$4,FALSE))</f>
        <v/>
      </c>
      <c r="AE26" s="37" t="str">
        <f>IF($C26="","",VLOOKUP($C26,CTBat!$G$10:$BR$208,AE$4,FALSE))</f>
        <v/>
      </c>
      <c r="AF26" s="37" t="str">
        <f>IF($C26="","",VLOOKUP($C26,CTBat!$G$10:$BR$208,AF$4,FALSE))</f>
        <v/>
      </c>
      <c r="AG26" s="37" t="str">
        <f>IF($C26="","",VLOOKUP($C26,CTBat!$G$10:$BR$208,AG$4,FALSE))</f>
        <v/>
      </c>
      <c r="AH26" s="37" t="str">
        <f>IF($C26="","",VLOOKUP($C26,CTBat!$G$10:$BR$208,AH$4,FALSE))</f>
        <v/>
      </c>
      <c r="AI26" s="37" t="str">
        <f>IF($C26="","",VLOOKUP($C26,CTBat!$G$10:$BR$208,AI$4,FALSE))</f>
        <v/>
      </c>
      <c r="AJ26" s="38" t="str">
        <f>IF($C26="","",VLOOKUP($C26,CTBat!$G$10:$BR$208,AJ$4,FALSE))</f>
        <v/>
      </c>
      <c r="AK26" s="67" t="str">
        <f t="shared" si="47"/>
        <v/>
      </c>
      <c r="AL26" s="288" t="str">
        <f t="shared" si="34"/>
        <v/>
      </c>
      <c r="AM26" s="288" t="str">
        <f t="shared" si="35"/>
        <v/>
      </c>
      <c r="AN26" s="288" t="str">
        <f t="shared" si="36"/>
        <v/>
      </c>
      <c r="AO26" s="288" t="str">
        <f t="shared" si="37"/>
        <v/>
      </c>
      <c r="AP26" s="288" t="str">
        <f t="shared" si="38"/>
        <v/>
      </c>
      <c r="AQ26" s="288" t="str">
        <f t="shared" si="39"/>
        <v/>
      </c>
      <c r="AR26" s="288" t="str">
        <f t="shared" si="40"/>
        <v/>
      </c>
      <c r="AS26" s="288" t="str">
        <f t="shared" si="41"/>
        <v/>
      </c>
      <c r="AT26" s="288" t="str">
        <f t="shared" si="42"/>
        <v/>
      </c>
      <c r="AU26" s="58" t="str">
        <f>IF($C26="","",VLOOKUP($C26,CTBat!$G$10:$BR$208,AU$4,FALSE))</f>
        <v/>
      </c>
      <c r="AV26" s="37" t="str">
        <f>IF($C26="","",VLOOKUP($C26,CTBat!$G$10:$BR$208,AV$4,FALSE))</f>
        <v/>
      </c>
      <c r="AW26" s="37" t="str">
        <f>IF($C26="","",VLOOKUP($C26,CTBat!$G$10:$BR$208,AW$4,FALSE))</f>
        <v/>
      </c>
      <c r="AX26" s="37" t="str">
        <f>IF($C26="","",VLOOKUP($C26,CTBat!$G$10:$BR$208,AX$4,FALSE))</f>
        <v/>
      </c>
      <c r="AY26" s="38" t="str">
        <f>IF($C26="","",VLOOKUP($C26,CTBat!$G$10:$BR$208,AY$4,FALSE))</f>
        <v/>
      </c>
      <c r="AZ26" s="67" t="str">
        <f t="shared" si="43"/>
        <v/>
      </c>
    </row>
    <row r="27" spans="1:52">
      <c r="A27">
        <v>8</v>
      </c>
      <c r="B27" s="39" t="s">
        <v>104</v>
      </c>
      <c r="C27" s="40"/>
      <c r="D27" s="40" t="str">
        <f>IF($C27="","",VLOOKUP($C27,CTBat!$G$10:$BR$208,D$4,FALSE))</f>
        <v/>
      </c>
      <c r="E27" s="40" t="str">
        <f>IF($C27="","",VLOOKUP($C27,CTBat!$G$10:$BR$208,E$4,FALSE))</f>
        <v/>
      </c>
      <c r="F27" s="54" t="str">
        <f t="shared" si="44"/>
        <v/>
      </c>
      <c r="G27" s="286" t="str">
        <f>IF($C27="","",IF(Q27&lt;&gt;"-",1,0))</f>
        <v/>
      </c>
      <c r="H27" s="286" t="str">
        <f t="shared" si="48"/>
        <v/>
      </c>
      <c r="I27" s="287" t="str">
        <f t="shared" si="45"/>
        <v/>
      </c>
      <c r="J27" s="40" t="str">
        <f>IF($C27="","",VLOOKUP($C27,CTBat!$G$10:$BR$208,J$4,FALSE))</f>
        <v/>
      </c>
      <c r="K27" s="40" t="str">
        <f>IF($C27="","",VLOOKUP($C27,CTBat!$G$10:$BR$208,K$4,FALSE))</f>
        <v/>
      </c>
      <c r="L27" s="40" t="str">
        <f>IF($C27="","",VLOOKUP($C27,CTBat!$G$10:$BR$208,L$4,FALSE))</f>
        <v/>
      </c>
      <c r="M27" s="59" t="str">
        <f>IF($C27="","",VLOOKUP($C27,CTBat!$G$10:$BR$208,M$4,FALSE))</f>
        <v/>
      </c>
      <c r="N27" s="40" t="str">
        <f>IF($C27="","",VLOOKUP($C27,CTBat!$G$10:$BR$208,N$4,FALSE))</f>
        <v/>
      </c>
      <c r="O27" s="40" t="str">
        <f>IF($C27="","",VLOOKUP($C27,CTBat!$G$10:$BR$208,O$4,FALSE))</f>
        <v/>
      </c>
      <c r="P27" s="40" t="str">
        <f>IF($C27="","",VLOOKUP($C27,CTBat!$G$10:$BR$208,P$4,FALSE))</f>
        <v/>
      </c>
      <c r="Q27" s="40" t="str">
        <f>IF($C27="","",VLOOKUP($C27,CTBat!$G$10:$BR$208,Q$4,FALSE))</f>
        <v/>
      </c>
      <c r="R27" s="40" t="str">
        <f>IF($C27="","",VLOOKUP($C27,CTBat!$G$10:$BR$208,R$4,FALSE))</f>
        <v/>
      </c>
      <c r="S27" s="40" t="str">
        <f>IF($C27="","",VLOOKUP($C27,CTBat!$G$10:$BR$208,S$4,FALSE))</f>
        <v/>
      </c>
      <c r="T27" s="42" t="str">
        <f>IF($C27="","",VLOOKUP($C27,CTBat!$G$10:$BR$208,T$4,FALSE))</f>
        <v/>
      </c>
      <c r="U27" s="286" t="str">
        <f t="shared" si="49"/>
        <v/>
      </c>
      <c r="V27" s="286" t="str">
        <f t="shared" si="27"/>
        <v/>
      </c>
      <c r="W27" s="286" t="str">
        <f t="shared" si="46"/>
        <v/>
      </c>
      <c r="X27" s="286" t="str">
        <f t="shared" si="28"/>
        <v/>
      </c>
      <c r="Y27" s="286" t="str">
        <f t="shared" si="29"/>
        <v/>
      </c>
      <c r="Z27" s="286" t="str">
        <f t="shared" si="30"/>
        <v/>
      </c>
      <c r="AA27" s="286" t="str">
        <f t="shared" si="31"/>
        <v/>
      </c>
      <c r="AB27" s="286" t="str">
        <f t="shared" si="32"/>
        <v/>
      </c>
      <c r="AC27" s="286" t="str">
        <f t="shared" si="33"/>
        <v/>
      </c>
      <c r="AD27" s="59" t="str">
        <f>IF($C27="","",VLOOKUP($C27,CTBat!$G$10:$BR$208,AD$4,FALSE))</f>
        <v/>
      </c>
      <c r="AE27" s="40" t="str">
        <f>IF($C27="","",VLOOKUP($C27,CTBat!$G$10:$BR$208,AE$4,FALSE))</f>
        <v/>
      </c>
      <c r="AF27" s="40" t="str">
        <f>IF($C27="","",VLOOKUP($C27,CTBat!$G$10:$BR$208,AF$4,FALSE))</f>
        <v/>
      </c>
      <c r="AG27" s="40" t="str">
        <f>IF($C27="","",VLOOKUP($C27,CTBat!$G$10:$BR$208,AG$4,FALSE))</f>
        <v/>
      </c>
      <c r="AH27" s="40" t="str">
        <f>IF($C27="","",VLOOKUP($C27,CTBat!$G$10:$BR$208,AH$4,FALSE))</f>
        <v/>
      </c>
      <c r="AI27" s="40" t="str">
        <f>IF($C27="","",VLOOKUP($C27,CTBat!$G$10:$BR$208,AI$4,FALSE))</f>
        <v/>
      </c>
      <c r="AJ27" s="42" t="str">
        <f>IF($C27="","",VLOOKUP($C27,CTBat!$G$10:$BR$208,AJ$4,FALSE))</f>
        <v/>
      </c>
      <c r="AK27" s="68" t="str">
        <f t="shared" si="47"/>
        <v/>
      </c>
      <c r="AL27" s="286" t="str">
        <f t="shared" si="34"/>
        <v/>
      </c>
      <c r="AM27" s="286" t="str">
        <f t="shared" si="35"/>
        <v/>
      </c>
      <c r="AN27" s="286" t="str">
        <f t="shared" si="36"/>
        <v/>
      </c>
      <c r="AO27" s="286" t="str">
        <f t="shared" si="37"/>
        <v/>
      </c>
      <c r="AP27" s="286" t="str">
        <f t="shared" si="38"/>
        <v/>
      </c>
      <c r="AQ27" s="286" t="str">
        <f t="shared" si="39"/>
        <v/>
      </c>
      <c r="AR27" s="286" t="str">
        <f t="shared" si="40"/>
        <v/>
      </c>
      <c r="AS27" s="286" t="str">
        <f t="shared" si="41"/>
        <v/>
      </c>
      <c r="AT27" s="286" t="str">
        <f t="shared" si="42"/>
        <v/>
      </c>
      <c r="AU27" s="59" t="str">
        <f>IF($C27="","",VLOOKUP($C27,CTBat!$G$10:$BR$208,AU$4,FALSE))</f>
        <v/>
      </c>
      <c r="AV27" s="40" t="str">
        <f>IF($C27="","",VLOOKUP($C27,CTBat!$G$10:$BR$208,AV$4,FALSE))</f>
        <v/>
      </c>
      <c r="AW27" s="40" t="str">
        <f>IF($C27="","",VLOOKUP($C27,CTBat!$G$10:$BR$208,AW$4,FALSE))</f>
        <v/>
      </c>
      <c r="AX27" s="40" t="str">
        <f>IF($C27="","",VLOOKUP($C27,CTBat!$G$10:$BR$208,AX$4,FALSE))</f>
        <v/>
      </c>
      <c r="AY27" s="42" t="str">
        <f>IF($C27="","",VLOOKUP($C27,CTBat!$G$10:$BR$208,AY$4,FALSE))</f>
        <v/>
      </c>
      <c r="AZ27" s="68" t="str">
        <f t="shared" si="43"/>
        <v/>
      </c>
    </row>
    <row r="29" spans="1:52" ht="196.5">
      <c r="A29" s="25" t="s">
        <v>196</v>
      </c>
      <c r="B29" s="283" t="s">
        <v>136</v>
      </c>
      <c r="C29" s="44" t="str">
        <f>"Player ("&amp;COUNTA(C30:C33)&amp;")"</f>
        <v>Player (2)</v>
      </c>
      <c r="D29" s="44" t="s">
        <v>94</v>
      </c>
      <c r="E29" s="44" t="s">
        <v>104</v>
      </c>
      <c r="F29" s="64" t="str">
        <f>"Strong C Arm ("&amp;SUM(F30:F33)&amp;")"</f>
        <v>Strong C Arm (2)</v>
      </c>
      <c r="G29" s="48" t="s">
        <v>41</v>
      </c>
      <c r="H29" s="48" t="s">
        <v>41</v>
      </c>
      <c r="I29" s="48" t="s">
        <v>41</v>
      </c>
      <c r="J29" s="55" t="s">
        <v>139</v>
      </c>
      <c r="K29" s="47" t="s">
        <v>137</v>
      </c>
      <c r="L29" s="56" t="s">
        <v>138</v>
      </c>
      <c r="M29" s="48" t="s">
        <v>95</v>
      </c>
      <c r="N29" s="48" t="s">
        <v>97</v>
      </c>
      <c r="O29" s="48" t="s">
        <v>98</v>
      </c>
      <c r="P29" s="48" t="s">
        <v>99</v>
      </c>
      <c r="Q29" s="48" t="s">
        <v>100</v>
      </c>
      <c r="R29" s="48" t="s">
        <v>101</v>
      </c>
      <c r="S29" s="48" t="s">
        <v>102</v>
      </c>
      <c r="T29" s="49" t="s">
        <v>103</v>
      </c>
      <c r="U29" s="45" t="s">
        <v>140</v>
      </c>
      <c r="V29" s="45" t="s">
        <v>184</v>
      </c>
      <c r="W29" s="45" t="s">
        <v>141</v>
      </c>
      <c r="X29" s="45" t="s">
        <v>142</v>
      </c>
      <c r="Y29" s="45" t="s">
        <v>143</v>
      </c>
      <c r="Z29" s="45" t="s">
        <v>144</v>
      </c>
      <c r="AA29" s="45" t="s">
        <v>145</v>
      </c>
      <c r="AB29" s="45" t="s">
        <v>147</v>
      </c>
      <c r="AC29" s="60" t="s">
        <v>146</v>
      </c>
      <c r="AD29" s="48" t="s">
        <v>150</v>
      </c>
      <c r="AE29" s="48" t="s">
        <v>151</v>
      </c>
      <c r="AF29" s="48" t="s">
        <v>152</v>
      </c>
      <c r="AG29" s="48" t="s">
        <v>153</v>
      </c>
      <c r="AH29" s="48" t="s">
        <v>29</v>
      </c>
      <c r="AI29" s="48" t="s">
        <v>154</v>
      </c>
      <c r="AJ29" s="49" t="s">
        <v>155</v>
      </c>
      <c r="AK29" s="66" t="s">
        <v>160</v>
      </c>
      <c r="AL29" s="45" t="s">
        <v>140</v>
      </c>
      <c r="AM29" s="45" t="s">
        <v>184</v>
      </c>
      <c r="AN29" s="45" t="s">
        <v>141</v>
      </c>
      <c r="AO29" s="45" t="s">
        <v>142</v>
      </c>
      <c r="AP29" s="45" t="s">
        <v>143</v>
      </c>
      <c r="AQ29" s="45" t="s">
        <v>144</v>
      </c>
      <c r="AR29" s="45" t="s">
        <v>145</v>
      </c>
      <c r="AS29" s="45" t="s">
        <v>147</v>
      </c>
      <c r="AT29" s="60" t="s">
        <v>146</v>
      </c>
      <c r="AU29" s="63" t="s">
        <v>150</v>
      </c>
      <c r="AV29" s="48" t="s">
        <v>151</v>
      </c>
      <c r="AW29" s="48" t="s">
        <v>152</v>
      </c>
      <c r="AX29" s="48" t="s">
        <v>153</v>
      </c>
      <c r="AY29" s="49" t="s">
        <v>29</v>
      </c>
      <c r="AZ29" s="66" t="s">
        <v>201</v>
      </c>
    </row>
    <row r="30" spans="1:52">
      <c r="A30">
        <v>1</v>
      </c>
      <c r="B30" s="36" t="s">
        <v>95</v>
      </c>
      <c r="C30" s="37" t="s">
        <v>305</v>
      </c>
      <c r="D30" s="37">
        <f>IF($C30="","",VLOOKUP($C30,CTBat!$G$10:$BR$208,D$4,FALSE))</f>
        <v>24</v>
      </c>
      <c r="E30" s="37" t="str">
        <f>IF($C30="","",VLOOKUP($C30,CTBat!$G$10:$BR$208,E$4,FALSE))</f>
        <v>S</v>
      </c>
      <c r="F30" s="53">
        <f>IF($C30="","",IF(J30&gt;5,1,0))</f>
        <v>1</v>
      </c>
      <c r="G30" s="288" t="str">
        <f t="shared" ref="G30:H33" si="50">IF($C30="","","-")</f>
        <v>-</v>
      </c>
      <c r="H30" s="288" t="str">
        <f t="shared" si="50"/>
        <v>-</v>
      </c>
      <c r="I30" s="288" t="str">
        <f>IF($C30="","","-")</f>
        <v>-</v>
      </c>
      <c r="J30" s="58">
        <f>IF($C30="","",VLOOKUP($C30,CTBat!$G$10:$BR$208,J$4,FALSE))</f>
        <v>6</v>
      </c>
      <c r="K30" s="37">
        <f>IF($C30="","",VLOOKUP($C30,CTBat!$G$10:$BR$208,K$4,FALSE))</f>
        <v>4</v>
      </c>
      <c r="L30" s="38">
        <f>IF($C30="","",VLOOKUP($C30,CTBat!$G$10:$BR$208,L$4,FALSE))</f>
        <v>4</v>
      </c>
      <c r="M30" s="37">
        <f>IF($C30="","",VLOOKUP($C30,CTBat!$G$10:$BR$208,M$4,FALSE))</f>
        <v>5</v>
      </c>
      <c r="N30" s="37" t="str">
        <f>IF($C30="","",VLOOKUP($C30,CTBat!$G$10:$BR$208,N$4,FALSE))</f>
        <v>-</v>
      </c>
      <c r="O30" s="37" t="str">
        <f>IF($C30="","",VLOOKUP($C30,CTBat!$G$10:$BR$208,O$4,FALSE))</f>
        <v>-</v>
      </c>
      <c r="P30" s="37" t="str">
        <f>IF($C30="","",VLOOKUP($C30,CTBat!$G$10:$BR$208,P$4,FALSE))</f>
        <v>-</v>
      </c>
      <c r="Q30" s="37" t="str">
        <f>IF($C30="","",VLOOKUP($C30,CTBat!$G$10:$BR$208,Q$4,FALSE))</f>
        <v>-</v>
      </c>
      <c r="R30" s="37" t="str">
        <f>IF($C30="","",VLOOKUP($C30,CTBat!$G$10:$BR$208,R$4,FALSE))</f>
        <v>-</v>
      </c>
      <c r="S30" s="37" t="str">
        <f>IF($C30="","",VLOOKUP($C30,CTBat!$G$10:$BR$208,S$4,FALSE))</f>
        <v>-</v>
      </c>
      <c r="T30" s="38" t="str">
        <f>IF($C30="","",VLOOKUP($C30,CTBat!$G$10:$BR$208,T$4,FALSE))</f>
        <v>-</v>
      </c>
      <c r="U30" s="288">
        <f t="shared" ref="U30:U33" si="51">IF($C30="","",IF(OR(AD30+AG30&gt;14,AND(OR(AD30+AG30&gt;12,AND(AD30&gt;6,AG30&gt;6)),AI30&gt;6,OR(AJ30&gt;=AI30,AJ30&gt;6))),1,0))</f>
        <v>0</v>
      </c>
      <c r="V30" s="288">
        <f t="shared" ref="V30:V33" si="52">IF($C30="","",IF(OR(AND(AD30&gt;6,AH30&gt;6),AD30+AG30&gt;12),1,0))</f>
        <v>0</v>
      </c>
      <c r="W30" s="288">
        <f t="shared" ref="W30:W33" si="53">IF($C30="","",IF(AND(AD30&gt;6,AF30&gt;6,AG30&gt;6),1,0))</f>
        <v>0</v>
      </c>
      <c r="X30" s="288">
        <f t="shared" ref="X30:X33" si="54">IF($C30="","",IF(AND(AF30&gt;7,OR(AD30&gt;6,AG30&gt;6)),1,0))</f>
        <v>0</v>
      </c>
      <c r="Y30" s="288">
        <f t="shared" ref="Y30:Y33" si="55">IF($C30="","",IF(AND(AF30&gt;6,OR(AD30&gt;6,AG30&gt;6)),1,0))</f>
        <v>0</v>
      </c>
      <c r="Z30" s="288">
        <f t="shared" ref="Z30:Z33" si="56">IF($C30="","",IF(AND(OR(AD30&gt;6,AF30&gt;6),OR(AD30&gt;6,AG30&gt;6)),1,0))</f>
        <v>0</v>
      </c>
      <c r="AA30" s="288">
        <f t="shared" ref="AA30:AA33" si="57">IF($C30="","",IF(AND(AD30&gt;4,OR(AD30&gt;6,AF30&gt;6,AG30&gt;6)),1,0))</f>
        <v>0</v>
      </c>
      <c r="AB30" s="288">
        <f t="shared" ref="AB30:AB33" si="58">IF($C30="","",IF(AND(AD30&gt;4,OR(AD30&gt;6,AE30&gt;6,AF30&gt;6,AG30&gt;6)),1,0))</f>
        <v>0</v>
      </c>
      <c r="AC30" s="289">
        <f t="shared" ref="AC30:AC33" si="59">IF($C30="","",IF(AND(AD30&gt;4,MAX(AD30:AH30)&gt;6),1,0))</f>
        <v>0</v>
      </c>
      <c r="AD30" s="37">
        <f>IF($C30="","",VLOOKUP($C30,CTBat!$G$10:$BR$208,AD$4,FALSE))</f>
        <v>5</v>
      </c>
      <c r="AE30" s="37">
        <f>IF($C30="","",VLOOKUP($C30,CTBat!$G$10:$BR$208,AE$4,FALSE))</f>
        <v>6</v>
      </c>
      <c r="AF30" s="37">
        <f>IF($C30="","",VLOOKUP($C30,CTBat!$G$10:$BR$208,AF$4,FALSE))</f>
        <v>4</v>
      </c>
      <c r="AG30" s="37">
        <f>IF($C30="","",VLOOKUP($C30,CTBat!$G$10:$BR$208,AG$4,FALSE))</f>
        <v>6</v>
      </c>
      <c r="AH30" s="37">
        <f>IF($C30="","",VLOOKUP($C30,CTBat!$G$10:$BR$208,AH$4,FALSE))</f>
        <v>6</v>
      </c>
      <c r="AI30" s="37">
        <f>IF($C30="","",VLOOKUP($C30,CTBat!$G$10:$BR$208,AI$4,FALSE))</f>
        <v>6</v>
      </c>
      <c r="AJ30" s="38">
        <f>IF($C30="","",VLOOKUP($C30,CTBat!$G$10:$BR$208,AJ$4,FALSE))</f>
        <v>4</v>
      </c>
      <c r="AK30" s="67">
        <f>IF($C30="","",(5*AD30+4*AF30+3*AG30+2*AE30+1*AH30+0.5*(AVERAGE(AD30:AE30))+0.5*AVERAGE(AD30,AH30)+1*(AVERAGE(AD30,AF30))+1*AVERAGE(AD30,AG30))/(5+4+3+2+1+0.5+0.5+1+1))</f>
        <v>5.1388888888888893</v>
      </c>
      <c r="AL30" s="288">
        <f t="shared" ref="AL30:AL33" si="60">IF($C30="","",IF(AND(OR(AU30+AX30&gt;12,AND(AU30&gt;6,AX30&gt;6)),AI30&gt;6,OR(AJ30&gt;=AI30,AJ30&gt;6)),1,0))</f>
        <v>0</v>
      </c>
      <c r="AM30" s="288">
        <f t="shared" ref="AM30:AM33" si="61">IF($C30="","",IF(OR(AND(AU30&gt;6,AY30&gt;6),AU30+AX30&gt;12),1,0))</f>
        <v>0</v>
      </c>
      <c r="AN30" s="288">
        <f t="shared" ref="AN30:AN33" si="62">IF($C30="","",IF(AND(AU30&gt;6,AW30&gt;6,AX30&gt;6),1,0))</f>
        <v>0</v>
      </c>
      <c r="AO30" s="288">
        <f t="shared" ref="AO30:AO33" si="63">IF($C30="","",IF(AND(AW30&gt;7,OR(AU30&gt;6,AX30&gt;6)),1,0))</f>
        <v>0</v>
      </c>
      <c r="AP30" s="288">
        <f t="shared" ref="AP30:AP33" si="64">IF($C30="","",IF(AND(AW30&gt;6,OR(AU30&gt;6,AX30&gt;6)),1,0))</f>
        <v>0</v>
      </c>
      <c r="AQ30" s="288">
        <f t="shared" ref="AQ30:AQ33" si="65">IF($C30="","",IF(AND(OR(AU30&gt;6,AW30&gt;6),OR(AU30&gt;6,AX30&gt;6)),1,0))</f>
        <v>0</v>
      </c>
      <c r="AR30" s="288">
        <f t="shared" ref="AR30:AR33" si="66">IF($C30="","",IF(AND(AU30&gt;4,OR(AU30&gt;6,AW30&gt;6,AX30&gt;6)),1,0))</f>
        <v>1</v>
      </c>
      <c r="AS30" s="288">
        <f t="shared" ref="AS30:AS33" si="67">IF($C30="","",IF(AND(AU30&gt;4,OR(AU30&gt;6,AV30&gt;6,AW30&gt;6,AX30&gt;6)),1,0))</f>
        <v>1</v>
      </c>
      <c r="AT30" s="289">
        <f t="shared" ref="AT30:AT33" si="68">IF($C30="","",IF(AND(AU30&gt;4,MAX(AU30:AY30)&gt;6),1,0))</f>
        <v>1</v>
      </c>
      <c r="AU30" s="58">
        <f>IF($C30="","",VLOOKUP($C30,CTBat!$G$10:$BR$208,AU$4,FALSE))</f>
        <v>5</v>
      </c>
      <c r="AV30" s="37">
        <f>IF($C30="","",VLOOKUP($C30,CTBat!$G$10:$BR$208,AV$4,FALSE))</f>
        <v>6</v>
      </c>
      <c r="AW30" s="37">
        <f>IF($C30="","",VLOOKUP($C30,CTBat!$G$10:$BR$208,AW$4,FALSE))</f>
        <v>4</v>
      </c>
      <c r="AX30" s="37">
        <f>IF($C30="","",VLOOKUP($C30,CTBat!$G$10:$BR$208,AX$4,FALSE))</f>
        <v>7</v>
      </c>
      <c r="AY30" s="38">
        <f>IF($C30="","",VLOOKUP($C30,CTBat!$G$10:$BR$208,AY$4,FALSE))</f>
        <v>6</v>
      </c>
      <c r="AZ30" s="67">
        <f t="shared" ref="AZ30:AZ33" si="69">IF($C30="","",(5*AU30+4*AW30+3*AX30+2*AV30+1*AY30+0.5*(AVERAGE(AU30:AV30))+0.5*AVERAGE(AU30,AY30)+1*(AVERAGE(AU30,AW30))+1*AVERAGE(AU30,AX30))/(5+4+3+2+1+0.5+0.5+1+1))</f>
        <v>5.333333333333333</v>
      </c>
    </row>
    <row r="31" spans="1:52">
      <c r="A31">
        <v>2</v>
      </c>
      <c r="B31" s="36" t="s">
        <v>104</v>
      </c>
      <c r="C31" s="37" t="s">
        <v>570</v>
      </c>
      <c r="D31" s="37">
        <f>IF($C31="","",VLOOKUP($C31,CTBat!$G$10:$BR$208,D$4,FALSE))</f>
        <v>33</v>
      </c>
      <c r="E31" s="37" t="str">
        <f>IF($C31="","",VLOOKUP($C31,CTBat!$G$10:$BR$208,E$4,FALSE))</f>
        <v>R</v>
      </c>
      <c r="F31" s="53">
        <f>IF($C31="","",IF(J31&gt;5,1,0))</f>
        <v>1</v>
      </c>
      <c r="G31" s="288" t="str">
        <f t="shared" si="50"/>
        <v>-</v>
      </c>
      <c r="H31" s="288" t="str">
        <f t="shared" si="50"/>
        <v>-</v>
      </c>
      <c r="I31" s="288" t="str">
        <f>IF($C31="","","-")</f>
        <v>-</v>
      </c>
      <c r="J31" s="58">
        <f>IF($C31="","",VLOOKUP($C31,CTBat!$G$10:$BR$208,J$4,FALSE))</f>
        <v>7</v>
      </c>
      <c r="K31" s="37">
        <f>IF($C31="","",VLOOKUP($C31,CTBat!$G$10:$BR$208,K$4,FALSE))</f>
        <v>3</v>
      </c>
      <c r="L31" s="38">
        <f>IF($C31="","",VLOOKUP($C31,CTBat!$G$10:$BR$208,L$4,FALSE))</f>
        <v>3</v>
      </c>
      <c r="M31" s="37">
        <f>IF($C31="","",VLOOKUP($C31,CTBat!$G$10:$BR$208,M$4,FALSE))</f>
        <v>7</v>
      </c>
      <c r="N31" s="37">
        <f>IF($C31="","",VLOOKUP($C31,CTBat!$G$10:$BR$208,N$4,FALSE))</f>
        <v>2</v>
      </c>
      <c r="O31" s="37" t="str">
        <f>IF($C31="","",VLOOKUP($C31,CTBat!$G$10:$BR$208,O$4,FALSE))</f>
        <v>-</v>
      </c>
      <c r="P31" s="37" t="str">
        <f>IF($C31="","",VLOOKUP($C31,CTBat!$G$10:$BR$208,P$4,FALSE))</f>
        <v>-</v>
      </c>
      <c r="Q31" s="37" t="str">
        <f>IF($C31="","",VLOOKUP($C31,CTBat!$G$10:$BR$208,Q$4,FALSE))</f>
        <v>-</v>
      </c>
      <c r="R31" s="37">
        <f>IF($C31="","",VLOOKUP($C31,CTBat!$G$10:$BR$208,R$4,FALSE))</f>
        <v>1</v>
      </c>
      <c r="S31" s="37" t="str">
        <f>IF($C31="","",VLOOKUP($C31,CTBat!$G$10:$BR$208,S$4,FALSE))</f>
        <v>-</v>
      </c>
      <c r="T31" s="38">
        <f>IF($C31="","",VLOOKUP($C31,CTBat!$G$10:$BR$208,T$4,FALSE))</f>
        <v>2</v>
      </c>
      <c r="U31" s="288">
        <f t="shared" si="51"/>
        <v>0</v>
      </c>
      <c r="V31" s="288">
        <f t="shared" si="52"/>
        <v>1</v>
      </c>
      <c r="W31" s="288">
        <f t="shared" si="53"/>
        <v>0</v>
      </c>
      <c r="X31" s="288">
        <f t="shared" si="54"/>
        <v>0</v>
      </c>
      <c r="Y31" s="288">
        <f t="shared" si="55"/>
        <v>0</v>
      </c>
      <c r="Z31" s="288">
        <f t="shared" si="56"/>
        <v>0</v>
      </c>
      <c r="AA31" s="288">
        <f t="shared" si="57"/>
        <v>1</v>
      </c>
      <c r="AB31" s="288">
        <f t="shared" si="58"/>
        <v>1</v>
      </c>
      <c r="AC31" s="289">
        <f t="shared" si="59"/>
        <v>1</v>
      </c>
      <c r="AD31" s="37">
        <f>IF($C31="","",VLOOKUP($C31,CTBat!$G$10:$BR$208,AD$4,FALSE))</f>
        <v>5</v>
      </c>
      <c r="AE31" s="37">
        <f>IF($C31="","",VLOOKUP($C31,CTBat!$G$10:$BR$208,AE$4,FALSE))</f>
        <v>6</v>
      </c>
      <c r="AF31" s="37">
        <f>IF($C31="","",VLOOKUP($C31,CTBat!$G$10:$BR$208,AF$4,FALSE))</f>
        <v>6</v>
      </c>
      <c r="AG31" s="37">
        <f>IF($C31="","",VLOOKUP($C31,CTBat!$G$10:$BR$208,AG$4,FALSE))</f>
        <v>8</v>
      </c>
      <c r="AH31" s="37">
        <f>IF($C31="","",VLOOKUP($C31,CTBat!$G$10:$BR$208,AH$4,FALSE))</f>
        <v>3</v>
      </c>
      <c r="AI31" s="37">
        <f>IF($C31="","",VLOOKUP($C31,CTBat!$G$10:$BR$208,AI$4,FALSE))</f>
        <v>1</v>
      </c>
      <c r="AJ31" s="38">
        <f>IF($C31="","",VLOOKUP($C31,CTBat!$G$10:$BR$208,AJ$4,FALSE))</f>
        <v>1</v>
      </c>
      <c r="AK31" s="67">
        <f t="shared" ref="AK31:AK33" si="70">IF($C31="","",(5*AD31+4*AF31+3*AG31+2*AE31+1*AH31+0.5*(AVERAGE(AD31:AE31))+0.5*AVERAGE(AD31,AH31)+1*(AVERAGE(AD31,AF31))+1*AVERAGE(AD31,AG31))/(5+4+3+2+1+0.5+0.5+1+1))</f>
        <v>5.8194444444444446</v>
      </c>
      <c r="AL31" s="288">
        <f t="shared" si="60"/>
        <v>0</v>
      </c>
      <c r="AM31" s="288">
        <f t="shared" si="61"/>
        <v>1</v>
      </c>
      <c r="AN31" s="288">
        <f t="shared" si="62"/>
        <v>0</v>
      </c>
      <c r="AO31" s="288">
        <f t="shared" si="63"/>
        <v>0</v>
      </c>
      <c r="AP31" s="288">
        <f t="shared" si="64"/>
        <v>0</v>
      </c>
      <c r="AQ31" s="288">
        <f t="shared" si="65"/>
        <v>0</v>
      </c>
      <c r="AR31" s="288">
        <f t="shared" si="66"/>
        <v>1</v>
      </c>
      <c r="AS31" s="288">
        <f t="shared" si="67"/>
        <v>1</v>
      </c>
      <c r="AT31" s="289">
        <f t="shared" si="68"/>
        <v>1</v>
      </c>
      <c r="AU31" s="58">
        <f>IF($C31="","",VLOOKUP($C31,CTBat!$G$10:$BR$208,AU$4,FALSE))</f>
        <v>5</v>
      </c>
      <c r="AV31" s="37">
        <f>IF($C31="","",VLOOKUP($C31,CTBat!$G$10:$BR$208,AV$4,FALSE))</f>
        <v>7</v>
      </c>
      <c r="AW31" s="37">
        <f>IF($C31="","",VLOOKUP($C31,CTBat!$G$10:$BR$208,AW$4,FALSE))</f>
        <v>6</v>
      </c>
      <c r="AX31" s="37">
        <f>IF($C31="","",VLOOKUP($C31,CTBat!$G$10:$BR$208,AX$4,FALSE))</f>
        <v>8</v>
      </c>
      <c r="AY31" s="38">
        <f>IF($C31="","",VLOOKUP($C31,CTBat!$G$10:$BR$208,AY$4,FALSE))</f>
        <v>3</v>
      </c>
      <c r="AZ31" s="67">
        <f t="shared" si="69"/>
        <v>5.9444444444444446</v>
      </c>
    </row>
    <row r="32" spans="1:52">
      <c r="A32">
        <v>3</v>
      </c>
      <c r="B32" s="36" t="s">
        <v>104</v>
      </c>
      <c r="C32" s="37"/>
      <c r="D32" s="37" t="str">
        <f>IF($C32="","",VLOOKUP($C32,CTBat!$G$10:$BR$208,D$4,FALSE))</f>
        <v/>
      </c>
      <c r="E32" s="37" t="str">
        <f>IF($C32="","",VLOOKUP($C32,CTBat!$G$10:$BR$208,E$4,FALSE))</f>
        <v/>
      </c>
      <c r="F32" s="53" t="str">
        <f>IF($C32="","",IF(J32&gt;5,1,0))</f>
        <v/>
      </c>
      <c r="G32" s="288" t="str">
        <f t="shared" si="50"/>
        <v/>
      </c>
      <c r="H32" s="288" t="str">
        <f t="shared" si="50"/>
        <v/>
      </c>
      <c r="I32" s="288" t="str">
        <f>IF($C32="","","-")</f>
        <v/>
      </c>
      <c r="J32" s="58" t="str">
        <f>IF($C32="","",VLOOKUP($C32,CTBat!$G$10:$BR$208,J$4,FALSE))</f>
        <v/>
      </c>
      <c r="K32" s="37" t="str">
        <f>IF($C32="","",VLOOKUP($C32,CTBat!$G$10:$BR$208,K$4,FALSE))</f>
        <v/>
      </c>
      <c r="L32" s="38" t="str">
        <f>IF($C32="","",VLOOKUP($C32,CTBat!$G$10:$BR$208,L$4,FALSE))</f>
        <v/>
      </c>
      <c r="M32" s="37" t="str">
        <f>IF($C32="","",VLOOKUP($C32,CTBat!$G$10:$BR$208,M$4,FALSE))</f>
        <v/>
      </c>
      <c r="N32" s="37" t="str">
        <f>IF($C32="","",VLOOKUP($C32,CTBat!$G$10:$BR$208,N$4,FALSE))</f>
        <v/>
      </c>
      <c r="O32" s="37" t="str">
        <f>IF($C32="","",VLOOKUP($C32,CTBat!$G$10:$BR$208,O$4,FALSE))</f>
        <v/>
      </c>
      <c r="P32" s="37" t="str">
        <f>IF($C32="","",VLOOKUP($C32,CTBat!$G$10:$BR$208,P$4,FALSE))</f>
        <v/>
      </c>
      <c r="Q32" s="37" t="str">
        <f>IF($C32="","",VLOOKUP($C32,CTBat!$G$10:$BR$208,Q$4,FALSE))</f>
        <v/>
      </c>
      <c r="R32" s="37" t="str">
        <f>IF($C32="","",VLOOKUP($C32,CTBat!$G$10:$BR$208,R$4,FALSE))</f>
        <v/>
      </c>
      <c r="S32" s="37" t="str">
        <f>IF($C32="","",VLOOKUP($C32,CTBat!$G$10:$BR$208,S$4,FALSE))</f>
        <v/>
      </c>
      <c r="T32" s="38" t="str">
        <f>IF($C32="","",VLOOKUP($C32,CTBat!$G$10:$BR$208,T$4,FALSE))</f>
        <v/>
      </c>
      <c r="U32" s="288" t="str">
        <f t="shared" si="51"/>
        <v/>
      </c>
      <c r="V32" s="288" t="str">
        <f t="shared" si="52"/>
        <v/>
      </c>
      <c r="W32" s="288" t="str">
        <f t="shared" si="53"/>
        <v/>
      </c>
      <c r="X32" s="288" t="str">
        <f t="shared" si="54"/>
        <v/>
      </c>
      <c r="Y32" s="288" t="str">
        <f t="shared" si="55"/>
        <v/>
      </c>
      <c r="Z32" s="288" t="str">
        <f t="shared" si="56"/>
        <v/>
      </c>
      <c r="AA32" s="288" t="str">
        <f t="shared" si="57"/>
        <v/>
      </c>
      <c r="AB32" s="288" t="str">
        <f t="shared" si="58"/>
        <v/>
      </c>
      <c r="AC32" s="289" t="str">
        <f t="shared" si="59"/>
        <v/>
      </c>
      <c r="AD32" s="37" t="str">
        <f>IF($C32="","",VLOOKUP($C32,CTBat!$G$10:$BR$208,AD$4,FALSE))</f>
        <v/>
      </c>
      <c r="AE32" s="37" t="str">
        <f>IF($C32="","",VLOOKUP($C32,CTBat!$G$10:$BR$208,AE$4,FALSE))</f>
        <v/>
      </c>
      <c r="AF32" s="37" t="str">
        <f>IF($C32="","",VLOOKUP($C32,CTBat!$G$10:$BR$208,AF$4,FALSE))</f>
        <v/>
      </c>
      <c r="AG32" s="37" t="str">
        <f>IF($C32="","",VLOOKUP($C32,CTBat!$G$10:$BR$208,AG$4,FALSE))</f>
        <v/>
      </c>
      <c r="AH32" s="37" t="str">
        <f>IF($C32="","",VLOOKUP($C32,CTBat!$G$10:$BR$208,AH$4,FALSE))</f>
        <v/>
      </c>
      <c r="AI32" s="37" t="str">
        <f>IF($C32="","",VLOOKUP($C32,CTBat!$G$10:$BR$208,AI$4,FALSE))</f>
        <v/>
      </c>
      <c r="AJ32" s="38" t="str">
        <f>IF($C32="","",VLOOKUP($C32,CTBat!$G$10:$BR$208,AJ$4,FALSE))</f>
        <v/>
      </c>
      <c r="AK32" s="67" t="str">
        <f t="shared" si="70"/>
        <v/>
      </c>
      <c r="AL32" s="288" t="str">
        <f t="shared" si="60"/>
        <v/>
      </c>
      <c r="AM32" s="288" t="str">
        <f t="shared" si="61"/>
        <v/>
      </c>
      <c r="AN32" s="288" t="str">
        <f t="shared" si="62"/>
        <v/>
      </c>
      <c r="AO32" s="288" t="str">
        <f t="shared" si="63"/>
        <v/>
      </c>
      <c r="AP32" s="288" t="str">
        <f t="shared" si="64"/>
        <v/>
      </c>
      <c r="AQ32" s="288" t="str">
        <f t="shared" si="65"/>
        <v/>
      </c>
      <c r="AR32" s="288" t="str">
        <f t="shared" si="66"/>
        <v/>
      </c>
      <c r="AS32" s="288" t="str">
        <f t="shared" si="67"/>
        <v/>
      </c>
      <c r="AT32" s="289" t="str">
        <f t="shared" si="68"/>
        <v/>
      </c>
      <c r="AU32" s="58" t="str">
        <f>IF($C32="","",VLOOKUP($C32,CTBat!$G$10:$BR$208,AU$4,FALSE))</f>
        <v/>
      </c>
      <c r="AV32" s="37" t="str">
        <f>IF($C32="","",VLOOKUP($C32,CTBat!$G$10:$BR$208,AV$4,FALSE))</f>
        <v/>
      </c>
      <c r="AW32" s="37" t="str">
        <f>IF($C32="","",VLOOKUP($C32,CTBat!$G$10:$BR$208,AW$4,FALSE))</f>
        <v/>
      </c>
      <c r="AX32" s="37" t="str">
        <f>IF($C32="","",VLOOKUP($C32,CTBat!$G$10:$BR$208,AX$4,FALSE))</f>
        <v/>
      </c>
      <c r="AY32" s="38" t="str">
        <f>IF($C32="","",VLOOKUP($C32,CTBat!$G$10:$BR$208,AY$4,FALSE))</f>
        <v/>
      </c>
      <c r="AZ32" s="67" t="str">
        <f t="shared" si="69"/>
        <v/>
      </c>
    </row>
    <row r="33" spans="1:52">
      <c r="A33">
        <v>4</v>
      </c>
      <c r="B33" s="39" t="s">
        <v>104</v>
      </c>
      <c r="C33" s="40"/>
      <c r="D33" s="40" t="str">
        <f>IF($C33="","",VLOOKUP($C33,CTBat!$G$10:$BR$208,D$4,FALSE))</f>
        <v/>
      </c>
      <c r="E33" s="40" t="str">
        <f>IF($C33="","",VLOOKUP($C33,CTBat!$G$10:$BR$208,E$4,FALSE))</f>
        <v/>
      </c>
      <c r="F33" s="54" t="str">
        <f>IF($C33="","",IF(J33&gt;5,1,0))</f>
        <v/>
      </c>
      <c r="G33" s="286" t="str">
        <f t="shared" si="50"/>
        <v/>
      </c>
      <c r="H33" s="286" t="str">
        <f t="shared" si="50"/>
        <v/>
      </c>
      <c r="I33" s="286" t="str">
        <f>IF($C33="","","-")</f>
        <v/>
      </c>
      <c r="J33" s="59" t="str">
        <f>IF($C33="","",VLOOKUP($C33,CTBat!$G$10:$BR$208,J$4,FALSE))</f>
        <v/>
      </c>
      <c r="K33" s="40" t="str">
        <f>IF($C33="","",VLOOKUP($C33,CTBat!$G$10:$BR$208,K$4,FALSE))</f>
        <v/>
      </c>
      <c r="L33" s="42" t="str">
        <f>IF($C33="","",VLOOKUP($C33,CTBat!$G$10:$BR$208,L$4,FALSE))</f>
        <v/>
      </c>
      <c r="M33" s="40" t="str">
        <f>IF($C33="","",VLOOKUP($C33,CTBat!$G$10:$BR$208,M$4,FALSE))</f>
        <v/>
      </c>
      <c r="N33" s="40" t="str">
        <f>IF($C33="","",VLOOKUP($C33,CTBat!$G$10:$BR$208,N$4,FALSE))</f>
        <v/>
      </c>
      <c r="O33" s="40" t="str">
        <f>IF($C33="","",VLOOKUP($C33,CTBat!$G$10:$BR$208,O$4,FALSE))</f>
        <v/>
      </c>
      <c r="P33" s="40" t="str">
        <f>IF($C33="","",VLOOKUP($C33,CTBat!$G$10:$BR$208,P$4,FALSE))</f>
        <v/>
      </c>
      <c r="Q33" s="40" t="str">
        <f>IF($C33="","",VLOOKUP($C33,CTBat!$G$10:$BR$208,Q$4,FALSE))</f>
        <v/>
      </c>
      <c r="R33" s="40" t="str">
        <f>IF($C33="","",VLOOKUP($C33,CTBat!$G$10:$BR$208,R$4,FALSE))</f>
        <v/>
      </c>
      <c r="S33" s="40" t="str">
        <f>IF($C33="","",VLOOKUP($C33,CTBat!$G$10:$BR$208,S$4,FALSE))</f>
        <v/>
      </c>
      <c r="T33" s="42" t="str">
        <f>IF($C33="","",VLOOKUP($C33,CTBat!$G$10:$BR$208,T$4,FALSE))</f>
        <v/>
      </c>
      <c r="U33" s="286" t="str">
        <f t="shared" si="51"/>
        <v/>
      </c>
      <c r="V33" s="286" t="str">
        <f t="shared" si="52"/>
        <v/>
      </c>
      <c r="W33" s="286" t="str">
        <f t="shared" si="53"/>
        <v/>
      </c>
      <c r="X33" s="286" t="str">
        <f t="shared" si="54"/>
        <v/>
      </c>
      <c r="Y33" s="286" t="str">
        <f t="shared" si="55"/>
        <v/>
      </c>
      <c r="Z33" s="286" t="str">
        <f t="shared" si="56"/>
        <v/>
      </c>
      <c r="AA33" s="286" t="str">
        <f t="shared" si="57"/>
        <v/>
      </c>
      <c r="AB33" s="286" t="str">
        <f t="shared" si="58"/>
        <v/>
      </c>
      <c r="AC33" s="287" t="str">
        <f t="shared" si="59"/>
        <v/>
      </c>
      <c r="AD33" s="40" t="str">
        <f>IF($C33="","",VLOOKUP($C33,CTBat!$G$10:$BR$208,AD$4,FALSE))</f>
        <v/>
      </c>
      <c r="AE33" s="40" t="str">
        <f>IF($C33="","",VLOOKUP($C33,CTBat!$G$10:$BR$208,AE$4,FALSE))</f>
        <v/>
      </c>
      <c r="AF33" s="40" t="str">
        <f>IF($C33="","",VLOOKUP($C33,CTBat!$G$10:$BR$208,AF$4,FALSE))</f>
        <v/>
      </c>
      <c r="AG33" s="40" t="str">
        <f>IF($C33="","",VLOOKUP($C33,CTBat!$G$10:$BR$208,AG$4,FALSE))</f>
        <v/>
      </c>
      <c r="AH33" s="40" t="str">
        <f>IF($C33="","",VLOOKUP($C33,CTBat!$G$10:$BR$208,AH$4,FALSE))</f>
        <v/>
      </c>
      <c r="AI33" s="40" t="str">
        <f>IF($C33="","",VLOOKUP($C33,CTBat!$G$10:$BR$208,AI$4,FALSE))</f>
        <v/>
      </c>
      <c r="AJ33" s="42" t="str">
        <f>IF($C33="","",VLOOKUP($C33,CTBat!$G$10:$BR$208,AJ$4,FALSE))</f>
        <v/>
      </c>
      <c r="AK33" s="68" t="str">
        <f t="shared" si="70"/>
        <v/>
      </c>
      <c r="AL33" s="286" t="str">
        <f t="shared" si="60"/>
        <v/>
      </c>
      <c r="AM33" s="286" t="str">
        <f t="shared" si="61"/>
        <v/>
      </c>
      <c r="AN33" s="286" t="str">
        <f t="shared" si="62"/>
        <v/>
      </c>
      <c r="AO33" s="286" t="str">
        <f t="shared" si="63"/>
        <v/>
      </c>
      <c r="AP33" s="286" t="str">
        <f t="shared" si="64"/>
        <v/>
      </c>
      <c r="AQ33" s="286" t="str">
        <f t="shared" si="65"/>
        <v/>
      </c>
      <c r="AR33" s="286" t="str">
        <f t="shared" si="66"/>
        <v/>
      </c>
      <c r="AS33" s="286" t="str">
        <f t="shared" si="67"/>
        <v/>
      </c>
      <c r="AT33" s="287" t="str">
        <f t="shared" si="68"/>
        <v/>
      </c>
      <c r="AU33" s="59" t="str">
        <f>IF($C33="","",VLOOKUP($C33,CTBat!$G$10:$BR$208,AU$4,FALSE))</f>
        <v/>
      </c>
      <c r="AV33" s="40" t="str">
        <f>IF($C33="","",VLOOKUP($C33,CTBat!$G$10:$BR$208,AV$4,FALSE))</f>
        <v/>
      </c>
      <c r="AW33" s="40" t="str">
        <f>IF($C33="","",VLOOKUP($C33,CTBat!$G$10:$BR$208,AW$4,FALSE))</f>
        <v/>
      </c>
      <c r="AX33" s="40" t="str">
        <f>IF($C33="","",VLOOKUP($C33,CTBat!$G$10:$BR$208,AX$4,FALSE))</f>
        <v/>
      </c>
      <c r="AY33" s="42" t="str">
        <f>IF($C33="","",VLOOKUP($C33,CTBat!$G$10:$BR$208,AY$4,FALSE))</f>
        <v/>
      </c>
      <c r="AZ33" s="68" t="str">
        <f t="shared" si="69"/>
        <v/>
      </c>
    </row>
    <row r="35" spans="1:52" s="1" customFormat="1">
      <c r="B35" s="283" t="s">
        <v>158</v>
      </c>
      <c r="C35" s="44" t="s">
        <v>121</v>
      </c>
      <c r="D35" s="44" t="s">
        <v>122</v>
      </c>
      <c r="E35" s="50" t="s">
        <v>104</v>
      </c>
      <c r="F35" s="284" t="s">
        <v>159</v>
      </c>
      <c r="G35" s="284" t="s">
        <v>163</v>
      </c>
      <c r="H35" s="285" t="s">
        <v>161</v>
      </c>
      <c r="I35" s="88" t="s">
        <v>185</v>
      </c>
      <c r="J35" s="283" t="s">
        <v>95</v>
      </c>
      <c r="K35" s="284" t="s">
        <v>148</v>
      </c>
      <c r="L35" s="284" t="s">
        <v>149</v>
      </c>
      <c r="M35" s="284" t="s">
        <v>208</v>
      </c>
      <c r="N35" s="284" t="s">
        <v>96</v>
      </c>
      <c r="O35" s="283" t="s">
        <v>209</v>
      </c>
      <c r="P35" s="285" t="s">
        <v>210</v>
      </c>
      <c r="Q35" s="283" t="s">
        <v>218</v>
      </c>
      <c r="R35" s="87" t="s">
        <v>236</v>
      </c>
      <c r="T35" s="283" t="s">
        <v>122</v>
      </c>
      <c r="U35" s="283" t="s">
        <v>219</v>
      </c>
      <c r="V35" s="285" t="s">
        <v>243</v>
      </c>
      <c r="W35" s="284" t="s">
        <v>218</v>
      </c>
      <c r="X35" s="285" t="s">
        <v>236</v>
      </c>
      <c r="AG35" s="290" t="s">
        <v>361</v>
      </c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2"/>
    </row>
    <row r="36" spans="1:52">
      <c r="B36" s="36">
        <v>1</v>
      </c>
      <c r="C36" s="57"/>
      <c r="D36" s="33" t="s">
        <v>102</v>
      </c>
      <c r="E36" s="38" t="str">
        <f>IF($C36="","",VLOOKUP($C36,$C$6:$AK$33,$E$4-2,FALSE))</f>
        <v/>
      </c>
      <c r="F36" s="288" t="str">
        <f>IF($C36="","",VLOOKUP($C36,$C$6:$AK$33,18+$B36,FALSE))</f>
        <v/>
      </c>
      <c r="G36" s="288" t="str">
        <f>IF($C36="","",IF(VLOOKUP($C36,$C$6:$AK$33,18+3,FALSE)=1,3,IF(VLOOKUP($C36,$C$6:$AK$33,18+4,FALSE)=1,4,IF(VLOOKUP($C36,$C$6:$AK$33,18+1,FALSE)=1,1,IF(VLOOKUP($C36,$C$6:$AK$33,18+5,FALSE)=1,5,IF(VLOOKUP($C36,$C$6:$AK$33,18+2,FALSE)=1,2,IF(VLOOKUP($C36,$C$6:$AK$33,18+6,FALSE)=1,6,IF(VLOOKUP($C36,$C$6:$AK$33,18+7,FALSE)=1,7,IF(VLOOKUP($C36,$C$6:$AK$33,18+8,FALSE)=1,8,9)))))))))</f>
        <v/>
      </c>
      <c r="H36" s="8" t="str">
        <f>IF($C36="","",VLOOKUP($C36,$C$6:$AK$33,35,FALSE))</f>
        <v/>
      </c>
      <c r="I36" s="89">
        <v>3</v>
      </c>
      <c r="J36" s="53" t="str">
        <f>IF($C36="","",VLOOKUP($C36,$C$6:$AZ$33,17+AD$4,FALSE))</f>
        <v/>
      </c>
      <c r="K36" s="288" t="str">
        <f>IF($C36="","",VLOOKUP($C36,$C$6:$AZ$33,17+AE$4,FALSE))</f>
        <v/>
      </c>
      <c r="L36" s="288" t="str">
        <f>IF($C36="","",VLOOKUP($C36,$C$6:$AZ$33,17+AF$4,FALSE))</f>
        <v/>
      </c>
      <c r="M36" s="288" t="str">
        <f>IF($C36="","",VLOOKUP($C36,$C$6:$AZ$33,17+AG$4,FALSE))</f>
        <v/>
      </c>
      <c r="N36" s="288" t="str">
        <f>IF($C36="","",VLOOKUP($C36,$C$6:$AZ$33,17+AH$4,FALSE))</f>
        <v/>
      </c>
      <c r="O36" s="53" t="str">
        <f>IF($C36="","",VLOOKUP($C36,$C$6:$AZ$33,1+AI$4,FALSE))</f>
        <v/>
      </c>
      <c r="P36" s="289" t="str">
        <f>IF($C36="","",VLOOKUP($C36,$C$6:$AZ$33,1+AJ$4,FALSE))</f>
        <v/>
      </c>
      <c r="Q36" s="117" t="str">
        <f>IF($C36="","",IF($D36="DH","-",VLOOKUP($C36,$C$5:$AZ$33,9+VLOOKUP($D36,$T$35:$U$43,2,FALSE),FALSE)))</f>
        <v/>
      </c>
      <c r="R36" s="102" t="str">
        <f>IF($C36="","",IF($D36="DH","-",VLOOKUP($C36,$C$5:$AZ$33,VLOOKUP($D36,$T$35:$V$43,3,FALSE),FALSE)))</f>
        <v/>
      </c>
      <c r="T36" s="53" t="s">
        <v>95</v>
      </c>
      <c r="U36" s="53">
        <v>2</v>
      </c>
      <c r="V36" s="289">
        <v>8</v>
      </c>
      <c r="W36" s="288" t="str">
        <f>VLOOKUP($T36,$D$35:$R$44,14,FALSE)</f>
        <v/>
      </c>
      <c r="X36" s="289" t="str">
        <f>VLOOKUP($T36,$D$35:$R$44,15,FALSE)</f>
        <v/>
      </c>
      <c r="AG36" s="202">
        <v>1</v>
      </c>
      <c r="AH36" s="295" t="s">
        <v>356</v>
      </c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6"/>
    </row>
    <row r="37" spans="1:52">
      <c r="B37" s="36">
        <v>2</v>
      </c>
      <c r="C37" s="58"/>
      <c r="D37" s="37" t="s">
        <v>18</v>
      </c>
      <c r="E37" s="38" t="str">
        <f>IF($C37="","",VLOOKUP($C37,$C$6:$AK$33,$E$4-2,FALSE))</f>
        <v/>
      </c>
      <c r="F37" s="288" t="str">
        <f>IF($C37="","",VLOOKUP($C37,$C$6:$AK$33,18+$B37,FALSE))</f>
        <v/>
      </c>
      <c r="G37" s="288" t="str">
        <f>IF($C37="","",IF(VLOOKUP($C37,$C$6:$AK$33,18+3,FALSE)=1,3,IF(VLOOKUP($C37,$C$6:$AK$33,18+4,FALSE)=1,4,IF(VLOOKUP($C37,$C$6:$AK$33,18+1,FALSE)=1,1,IF(VLOOKUP($C37,$C$6:$AK$33,18+5,FALSE)=1,5,IF(VLOOKUP($C37,$C$6:$AK$33,18+2,FALSE)=1,2,IF(VLOOKUP($C37,$C$6:$AK$33,18+6,FALSE)=1,6,IF(VLOOKUP($C37,$C$6:$AK$33,18+7,FALSE)=1,7,IF(VLOOKUP($C37,$C$6:$AK$33,18+8,FALSE)=1,8,9)))))))))</f>
        <v/>
      </c>
      <c r="H37" s="8" t="str">
        <f>IF($C37="","",VLOOKUP($C37,$C$6:$AK$33,35,FALSE))</f>
        <v/>
      </c>
      <c r="I37" s="89">
        <v>5</v>
      </c>
      <c r="J37" s="53" t="str">
        <f>IF($C37="","",VLOOKUP($C37,$C$6:$AZ$33,17+AD$4,FALSE))</f>
        <v/>
      </c>
      <c r="K37" s="288" t="str">
        <f>IF($C37="","",VLOOKUP($C37,$C$6:$AZ$33,17+AE$4,FALSE))</f>
        <v/>
      </c>
      <c r="L37" s="288" t="str">
        <f>IF($C37="","",VLOOKUP($C37,$C$6:$AZ$33,17+AF$4,FALSE))</f>
        <v/>
      </c>
      <c r="M37" s="288" t="str">
        <f>IF($C37="","",VLOOKUP($C37,$C$6:$AZ$33,17+AG$4,FALSE))</f>
        <v/>
      </c>
      <c r="N37" s="288" t="str">
        <f>IF($C37="","",VLOOKUP($C37,$C$6:$AZ$33,17+AH$4,FALSE))</f>
        <v/>
      </c>
      <c r="O37" s="53" t="str">
        <f>IF($C37="","",VLOOKUP($C37,$C$6:$AZ$33,1+AI$4,FALSE))</f>
        <v/>
      </c>
      <c r="P37" s="289" t="str">
        <f>IF($C37="","",VLOOKUP($C37,$C$6:$AZ$33,1+AJ$4,FALSE))</f>
        <v/>
      </c>
      <c r="Q37" s="118" t="str">
        <f>IF($C37="","",IF($D37="DH","-",VLOOKUP($C37,$C$5:$AZ$33,9+VLOOKUP($D37,$T$35:$U$43,2,FALSE),FALSE)))</f>
        <v/>
      </c>
      <c r="R37" s="102" t="str">
        <f>IF($C37="","",IF($D37="DH","-",VLOOKUP($C37,$C$5:$AZ$33,VLOOKUP($D37,$T$35:$V$43,3,FALSE),FALSE)))</f>
        <v/>
      </c>
      <c r="T37" s="53" t="s">
        <v>97</v>
      </c>
      <c r="U37" s="53">
        <v>3</v>
      </c>
      <c r="V37" s="289">
        <v>9</v>
      </c>
      <c r="W37" s="288" t="str">
        <f t="shared" ref="W37:W43" si="71">VLOOKUP($T37,$D$35:$R$44,14,FALSE)</f>
        <v/>
      </c>
      <c r="X37" s="289" t="str">
        <f t="shared" ref="X37:X43" si="72">VLOOKUP($T37,$D$35:$R$44,15,FALSE)</f>
        <v/>
      </c>
      <c r="AG37" s="77">
        <v>2</v>
      </c>
      <c r="AH37" s="295" t="s">
        <v>357</v>
      </c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6"/>
    </row>
    <row r="38" spans="1:52">
      <c r="B38" s="36">
        <v>3</v>
      </c>
      <c r="C38" s="58"/>
      <c r="D38" s="37" t="s">
        <v>100</v>
      </c>
      <c r="E38" s="38" t="str">
        <f>IF($C38="","",VLOOKUP($C38,$C$6:$AK$33,$E$4-2,FALSE))</f>
        <v/>
      </c>
      <c r="F38" s="288" t="str">
        <f>IF($C38="","",VLOOKUP($C38,$C$6:$AK$33,18+$B38,FALSE))</f>
        <v/>
      </c>
      <c r="G38" s="288" t="str">
        <f>IF($C38="","",IF(VLOOKUP($C38,$C$6:$AK$33,18+3,FALSE)=1,3,IF(VLOOKUP($C38,$C$6:$AK$33,18+4,FALSE)=1,4,IF(VLOOKUP($C38,$C$6:$AK$33,18+1,FALSE)=1,1,IF(VLOOKUP($C38,$C$6:$AK$33,18+5,FALSE)=1,5,IF(VLOOKUP($C38,$C$6:$AK$33,18+2,FALSE)=1,2,IF(VLOOKUP($C38,$C$6:$AK$33,18+6,FALSE)=1,6,IF(VLOOKUP($C38,$C$6:$AK$33,18+7,FALSE)=1,7,IF(VLOOKUP($C38,$C$6:$AK$33,18+8,FALSE)=1,8,9)))))))))</f>
        <v/>
      </c>
      <c r="H38" s="8" t="str">
        <f>IF($C38="","",VLOOKUP($C38,$C$6:$AK$33,35,FALSE))</f>
        <v/>
      </c>
      <c r="I38" s="89">
        <v>1</v>
      </c>
      <c r="J38" s="53" t="str">
        <f>IF($C38="","",VLOOKUP($C38,$C$6:$AZ$33,17+AD$4,FALSE))</f>
        <v/>
      </c>
      <c r="K38" s="288" t="str">
        <f>IF($C38="","",VLOOKUP($C38,$C$6:$AZ$33,17+AE$4,FALSE))</f>
        <v/>
      </c>
      <c r="L38" s="288" t="str">
        <f>IF($C38="","",VLOOKUP($C38,$C$6:$AZ$33,17+AF$4,FALSE))</f>
        <v/>
      </c>
      <c r="M38" s="288" t="str">
        <f>IF($C38="","",VLOOKUP($C38,$C$6:$AZ$33,17+AG$4,FALSE))</f>
        <v/>
      </c>
      <c r="N38" s="288" t="str">
        <f>IF($C38="","",VLOOKUP($C38,$C$6:$AZ$33,17+AH$4,FALSE))</f>
        <v/>
      </c>
      <c r="O38" s="53" t="str">
        <f>IF($C38="","",VLOOKUP($C38,$C$6:$AZ$33,1+AI$4,FALSE))</f>
        <v/>
      </c>
      <c r="P38" s="289" t="str">
        <f>IF($C38="","",VLOOKUP($C38,$C$6:$AZ$33,1+AJ$4,FALSE))</f>
        <v/>
      </c>
      <c r="Q38" s="118" t="str">
        <f>IF($C38="","",IF($D38="DH","-",VLOOKUP($C38,$C$5:$AZ$33,9+VLOOKUP($D38,$T$35:$U$43,2,FALSE),FALSE)))</f>
        <v/>
      </c>
      <c r="R38" s="102" t="str">
        <f>IF($C38="","",IF($D38="DH","-",VLOOKUP($C38,$C$5:$AZ$33,VLOOKUP($D38,$T$35:$V$43,3,FALSE),FALSE)))</f>
        <v/>
      </c>
      <c r="T38" s="53" t="s">
        <v>98</v>
      </c>
      <c r="U38" s="53">
        <v>4</v>
      </c>
      <c r="V38" s="289">
        <v>9</v>
      </c>
      <c r="W38" s="288" t="str">
        <f t="shared" si="71"/>
        <v/>
      </c>
      <c r="X38" s="289" t="str">
        <f t="shared" si="72"/>
        <v/>
      </c>
      <c r="AG38" s="77">
        <v>3</v>
      </c>
      <c r="AH38" s="295" t="s">
        <v>359</v>
      </c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6"/>
    </row>
    <row r="39" spans="1:52">
      <c r="B39" s="36">
        <v>4</v>
      </c>
      <c r="C39" s="58"/>
      <c r="D39" s="65" t="s">
        <v>97</v>
      </c>
      <c r="E39" s="38" t="str">
        <f>IF($C39="","",VLOOKUP($C39,$C$6:$AK$33,$E$4-2,FALSE))</f>
        <v/>
      </c>
      <c r="F39" s="288" t="str">
        <f>IF($C39="","",VLOOKUP($C39,$C$6:$AK$33,18+$B39,FALSE))</f>
        <v/>
      </c>
      <c r="G39" s="288" t="str">
        <f>IF($C39="","",IF(VLOOKUP($C39,$C$6:$AK$33,18+3,FALSE)=1,3,IF(VLOOKUP($C39,$C$6:$AK$33,18+4,FALSE)=1,4,IF(VLOOKUP($C39,$C$6:$AK$33,18+1,FALSE)=1,1,IF(VLOOKUP($C39,$C$6:$AK$33,18+5,FALSE)=1,5,IF(VLOOKUP($C39,$C$6:$AK$33,18+2,FALSE)=1,2,IF(VLOOKUP($C39,$C$6:$AK$33,18+6,FALSE)=1,6,IF(VLOOKUP($C39,$C$6:$AK$33,18+7,FALSE)=1,7,IF(VLOOKUP($C39,$C$6:$AK$33,18+8,FALSE)=1,8,9)))))))))</f>
        <v/>
      </c>
      <c r="H39" s="8" t="str">
        <f>IF($C39="","",VLOOKUP($C39,$C$6:$AK$33,35,FALSE))</f>
        <v/>
      </c>
      <c r="I39" s="89">
        <v>2</v>
      </c>
      <c r="J39" s="53" t="str">
        <f>IF($C39="","",VLOOKUP($C39,$C$6:$AZ$33,17+AD$4,FALSE))</f>
        <v/>
      </c>
      <c r="K39" s="288" t="str">
        <f>IF($C39="","",VLOOKUP($C39,$C$6:$AZ$33,17+AE$4,FALSE))</f>
        <v/>
      </c>
      <c r="L39" s="288" t="str">
        <f>IF($C39="","",VLOOKUP($C39,$C$6:$AZ$33,17+AF$4,FALSE))</f>
        <v/>
      </c>
      <c r="M39" s="288" t="str">
        <f>IF($C39="","",VLOOKUP($C39,$C$6:$AZ$33,17+AG$4,FALSE))</f>
        <v/>
      </c>
      <c r="N39" s="288" t="str">
        <f>IF($C39="","",VLOOKUP($C39,$C$6:$AZ$33,17+AH$4,FALSE))</f>
        <v/>
      </c>
      <c r="O39" s="53" t="str">
        <f>IF($C39="","",VLOOKUP($C39,$C$6:$AZ$33,1+AI$4,FALSE))</f>
        <v/>
      </c>
      <c r="P39" s="289" t="str">
        <f>IF($C39="","",VLOOKUP($C39,$C$6:$AZ$33,1+AJ$4,FALSE))</f>
        <v/>
      </c>
      <c r="Q39" s="118" t="str">
        <f>IF($C39="","",IF($D39="DH","-",VLOOKUP($C39,$C$5:$AZ$33,9+VLOOKUP($D39,$T$35:$U$43,2,FALSE),FALSE)))</f>
        <v/>
      </c>
      <c r="R39" s="102" t="str">
        <f>IF($C39="","",IF($D39="DH","-",VLOOKUP($C39,$C$5:$AZ$33,VLOOKUP($D39,$T$35:$V$43,3,FALSE),FALSE)))</f>
        <v/>
      </c>
      <c r="T39" s="53" t="s">
        <v>99</v>
      </c>
      <c r="U39" s="53">
        <v>5</v>
      </c>
      <c r="V39" s="289">
        <v>9</v>
      </c>
      <c r="W39" s="288" t="str">
        <f t="shared" si="71"/>
        <v/>
      </c>
      <c r="X39" s="289" t="str">
        <f t="shared" si="72"/>
        <v/>
      </c>
      <c r="AG39" s="77">
        <v>4</v>
      </c>
      <c r="AH39" s="297" t="s">
        <v>358</v>
      </c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</row>
    <row r="40" spans="1:52">
      <c r="B40" s="36">
        <v>5</v>
      </c>
      <c r="C40" s="58"/>
      <c r="D40" s="65" t="s">
        <v>95</v>
      </c>
      <c r="E40" s="38" t="str">
        <f>IF($C40="","",VLOOKUP($C40,$C$6:$AK$33,$E$4-2,FALSE))</f>
        <v/>
      </c>
      <c r="F40" s="288" t="str">
        <f>IF($C40="","",VLOOKUP($C40,$C$6:$AK$33,18+$B40,FALSE))</f>
        <v/>
      </c>
      <c r="G40" s="288" t="str">
        <f>IF($C40="","",IF(VLOOKUP($C40,$C$6:$AK$33,18+3,FALSE)=1,3,IF(VLOOKUP($C40,$C$6:$AK$33,18+4,FALSE)=1,4,IF(VLOOKUP($C40,$C$6:$AK$33,18+1,FALSE)=1,1,IF(VLOOKUP($C40,$C$6:$AK$33,18+5,FALSE)=1,5,IF(VLOOKUP($C40,$C$6:$AK$33,18+2,FALSE)=1,2,IF(VLOOKUP($C40,$C$6:$AK$33,18+6,FALSE)=1,6,IF(VLOOKUP($C40,$C$6:$AK$33,18+7,FALSE)=1,7,IF(VLOOKUP($C40,$C$6:$AK$33,18+8,FALSE)=1,8,9)))))))))</f>
        <v/>
      </c>
      <c r="H40" s="8" t="str">
        <f>IF($C40="","",VLOOKUP($C40,$C$6:$AK$33,35,FALSE))</f>
        <v/>
      </c>
      <c r="I40" s="89">
        <v>4</v>
      </c>
      <c r="J40" s="53" t="str">
        <f>IF($C40="","",VLOOKUP($C40,$C$6:$AZ$33,17+AD$4,FALSE))</f>
        <v/>
      </c>
      <c r="K40" s="288" t="str">
        <f>IF($C40="","",VLOOKUP($C40,$C$6:$AZ$33,17+AE$4,FALSE))</f>
        <v/>
      </c>
      <c r="L40" s="288" t="str">
        <f>IF($C40="","",VLOOKUP($C40,$C$6:$AZ$33,17+AF$4,FALSE))</f>
        <v/>
      </c>
      <c r="M40" s="288" t="str">
        <f>IF($C40="","",VLOOKUP($C40,$C$6:$AZ$33,17+AG$4,FALSE))</f>
        <v/>
      </c>
      <c r="N40" s="288" t="str">
        <f>IF($C40="","",VLOOKUP($C40,$C$6:$AZ$33,17+AH$4,FALSE))</f>
        <v/>
      </c>
      <c r="O40" s="53" t="str">
        <f>IF($C40="","",VLOOKUP($C40,$C$6:$AZ$33,1+AI$4,FALSE))</f>
        <v/>
      </c>
      <c r="P40" s="289" t="str">
        <f>IF($C40="","",VLOOKUP($C40,$C$6:$AZ$33,1+AJ$4,FALSE))</f>
        <v/>
      </c>
      <c r="Q40" s="118" t="str">
        <f>IF($C40="","",IF($D40="DH","-",VLOOKUP($C40,$C$5:$AZ$33,9+VLOOKUP($D40,$T$35:$U$43,2,FALSE),FALSE)))</f>
        <v/>
      </c>
      <c r="R40" s="102" t="str">
        <f>IF($C40="","",IF($D40="DH","-",VLOOKUP($C40,$C$5:$AZ$33,VLOOKUP($D40,$T$35:$V$43,3,FALSE),FALSE)))</f>
        <v/>
      </c>
      <c r="T40" s="53" t="s">
        <v>100</v>
      </c>
      <c r="U40" s="53">
        <v>6</v>
      </c>
      <c r="V40" s="289">
        <v>9</v>
      </c>
      <c r="W40" s="288" t="str">
        <f t="shared" si="71"/>
        <v/>
      </c>
      <c r="X40" s="289" t="str">
        <f t="shared" si="72"/>
        <v/>
      </c>
      <c r="AG40" s="78">
        <v>5</v>
      </c>
      <c r="AH40" s="293" t="s">
        <v>360</v>
      </c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4"/>
    </row>
    <row r="41" spans="1:52">
      <c r="B41" s="36">
        <v>6</v>
      </c>
      <c r="C41" s="58"/>
      <c r="D41" s="65" t="s">
        <v>103</v>
      </c>
      <c r="E41" s="38" t="str">
        <f>IF($C41="","",VLOOKUP($C41,$C$6:$AK$33,$E$4-2,FALSE))</f>
        <v/>
      </c>
      <c r="F41" s="288" t="str">
        <f>IF($C41="","",VLOOKUP($C41,$C$6:$AK$33,18+$B41,FALSE))</f>
        <v/>
      </c>
      <c r="G41" s="288" t="str">
        <f>IF($C41="","",IF(VLOOKUP($C41,$C$6:$AK$33,18+3,FALSE)=1,3,IF(VLOOKUP($C41,$C$6:$AK$33,18+4,FALSE)=1,4,IF(VLOOKUP($C41,$C$6:$AK$33,18+1,FALSE)=1,1,IF(VLOOKUP($C41,$C$6:$AK$33,18+5,FALSE)=1,5,IF(VLOOKUP($C41,$C$6:$AK$33,18+2,FALSE)=1,2,IF(VLOOKUP($C41,$C$6:$AK$33,18+6,FALSE)=1,6,IF(VLOOKUP($C41,$C$6:$AK$33,18+7,FALSE)=1,7,IF(VLOOKUP($C41,$C$6:$AK$33,18+8,FALSE)=1,8,9)))))))))</f>
        <v/>
      </c>
      <c r="H41" s="8" t="str">
        <f>IF($C41="","",VLOOKUP($C41,$C$6:$AK$33,35,FALSE))</f>
        <v/>
      </c>
      <c r="I41" s="89">
        <v>6</v>
      </c>
      <c r="J41" s="53" t="str">
        <f>IF($C41="","",VLOOKUP($C41,$C$6:$AZ$33,17+AD$4,FALSE))</f>
        <v/>
      </c>
      <c r="K41" s="288" t="str">
        <f>IF($C41="","",VLOOKUP($C41,$C$6:$AZ$33,17+AE$4,FALSE))</f>
        <v/>
      </c>
      <c r="L41" s="288" t="str">
        <f>IF($C41="","",VLOOKUP($C41,$C$6:$AZ$33,17+AF$4,FALSE))</f>
        <v/>
      </c>
      <c r="M41" s="288" t="str">
        <f>IF($C41="","",VLOOKUP($C41,$C$6:$AZ$33,17+AG$4,FALSE))</f>
        <v/>
      </c>
      <c r="N41" s="288" t="str">
        <f>IF($C41="","",VLOOKUP($C41,$C$6:$AZ$33,17+AH$4,FALSE))</f>
        <v/>
      </c>
      <c r="O41" s="53" t="str">
        <f>IF($C41="","",VLOOKUP($C41,$C$6:$AZ$33,1+AI$4,FALSE))</f>
        <v/>
      </c>
      <c r="P41" s="289" t="str">
        <f>IF($C41="","",VLOOKUP($C41,$C$6:$AZ$33,1+AJ$4,FALSE))</f>
        <v/>
      </c>
      <c r="Q41" s="118" t="str">
        <f>IF($C41="","",IF($D41="DH","-",VLOOKUP($C41,$C$5:$AZ$33,9+VLOOKUP($D41,$T$35:$U$43,2,FALSE),FALSE)))</f>
        <v/>
      </c>
      <c r="R41" s="102" t="str">
        <f>IF($C41="","",IF($D41="DH","-",VLOOKUP($C41,$C$5:$AZ$33,VLOOKUP($D41,$T$35:$V$43,3,FALSE),FALSE)))</f>
        <v/>
      </c>
      <c r="T41" s="53" t="s">
        <v>101</v>
      </c>
      <c r="U41" s="53">
        <v>7</v>
      </c>
      <c r="V41" s="289">
        <v>10</v>
      </c>
      <c r="W41" s="288" t="str">
        <f t="shared" si="71"/>
        <v/>
      </c>
      <c r="X41" s="289" t="str">
        <f t="shared" si="72"/>
        <v/>
      </c>
    </row>
    <row r="42" spans="1:52">
      <c r="B42" s="36">
        <v>7</v>
      </c>
      <c r="C42" s="58"/>
      <c r="D42" s="65" t="s">
        <v>101</v>
      </c>
      <c r="E42" s="38" t="str">
        <f>IF($C42="","",VLOOKUP($C42,$C$6:$AK$33,$E$4-2,FALSE))</f>
        <v/>
      </c>
      <c r="F42" s="288" t="str">
        <f>IF($C42="","",VLOOKUP($C42,$C$6:$AK$33,18+$B42,FALSE))</f>
        <v/>
      </c>
      <c r="G42" s="288" t="str">
        <f>IF($C42="","",IF(VLOOKUP($C42,$C$6:$AK$33,18+3,FALSE)=1,3,IF(VLOOKUP($C42,$C$6:$AK$33,18+4,FALSE)=1,4,IF(VLOOKUP($C42,$C$6:$AK$33,18+1,FALSE)=1,1,IF(VLOOKUP($C42,$C$6:$AK$33,18+5,FALSE)=1,5,IF(VLOOKUP($C42,$C$6:$AK$33,18+2,FALSE)=1,2,IF(VLOOKUP($C42,$C$6:$AK$33,18+6,FALSE)=1,6,IF(VLOOKUP($C42,$C$6:$AK$33,18+7,FALSE)=1,7,IF(VLOOKUP($C42,$C$6:$AK$33,18+8,FALSE)=1,8,9)))))))))</f>
        <v/>
      </c>
      <c r="H42" s="8" t="str">
        <f>IF($C42="","",VLOOKUP($C42,$C$6:$AK$33,35,FALSE))</f>
        <v/>
      </c>
      <c r="I42" s="89">
        <v>7</v>
      </c>
      <c r="J42" s="53" t="str">
        <f>IF($C42="","",VLOOKUP($C42,$C$6:$AZ$33,17+AD$4,FALSE))</f>
        <v/>
      </c>
      <c r="K42" s="288" t="str">
        <f>IF($C42="","",VLOOKUP($C42,$C$6:$AZ$33,17+AE$4,FALSE))</f>
        <v/>
      </c>
      <c r="L42" s="288" t="str">
        <f>IF($C42="","",VLOOKUP($C42,$C$6:$AZ$33,17+AF$4,FALSE))</f>
        <v/>
      </c>
      <c r="M42" s="288" t="str">
        <f>IF($C42="","",VLOOKUP($C42,$C$6:$AZ$33,17+AG$4,FALSE))</f>
        <v/>
      </c>
      <c r="N42" s="288" t="str">
        <f>IF($C42="","",VLOOKUP($C42,$C$6:$AZ$33,17+AH$4,FALSE))</f>
        <v/>
      </c>
      <c r="O42" s="53" t="str">
        <f>IF($C42="","",VLOOKUP($C42,$C$6:$AZ$33,1+AI$4,FALSE))</f>
        <v/>
      </c>
      <c r="P42" s="289" t="str">
        <f>IF($C42="","",VLOOKUP($C42,$C$6:$AZ$33,1+AJ$4,FALSE))</f>
        <v/>
      </c>
      <c r="Q42" s="118" t="str">
        <f>IF($C42="","",IF($D42="DH","-",VLOOKUP($C42,$C$5:$AZ$33,9+VLOOKUP($D42,$T$35:$U$43,2,FALSE),FALSE)))</f>
        <v/>
      </c>
      <c r="R42" s="102" t="str">
        <f>IF($C42="","",IF($D42="DH","-",VLOOKUP($C42,$C$5:$AZ$33,VLOOKUP($D42,$T$35:$V$43,3,FALSE),FALSE)))</f>
        <v/>
      </c>
      <c r="T42" s="53" t="s">
        <v>102</v>
      </c>
      <c r="U42" s="53">
        <v>8</v>
      </c>
      <c r="V42" s="289">
        <v>10</v>
      </c>
      <c r="W42" s="288" t="str">
        <f t="shared" si="71"/>
        <v/>
      </c>
      <c r="X42" s="289" t="str">
        <f t="shared" si="72"/>
        <v/>
      </c>
    </row>
    <row r="43" spans="1:52">
      <c r="B43" s="36">
        <v>8</v>
      </c>
      <c r="C43" s="58"/>
      <c r="D43" s="65" t="s">
        <v>99</v>
      </c>
      <c r="E43" s="38" t="str">
        <f>IF($C43="","",VLOOKUP($C43,$C$6:$AK$33,$E$4-2,FALSE))</f>
        <v/>
      </c>
      <c r="F43" s="288" t="str">
        <f>IF($C43="","",VLOOKUP($C43,$C$6:$AK$33,18+$B43,FALSE))</f>
        <v/>
      </c>
      <c r="G43" s="288" t="str">
        <f>IF($C43="","",IF(VLOOKUP($C43,$C$6:$AK$33,18+3,FALSE)=1,3,IF(VLOOKUP($C43,$C$6:$AK$33,18+4,FALSE)=1,4,IF(VLOOKUP($C43,$C$6:$AK$33,18+1,FALSE)=1,1,IF(VLOOKUP($C43,$C$6:$AK$33,18+5,FALSE)=1,5,IF(VLOOKUP($C43,$C$6:$AK$33,18+2,FALSE)=1,2,IF(VLOOKUP($C43,$C$6:$AK$33,18+6,FALSE)=1,6,IF(VLOOKUP($C43,$C$6:$AK$33,18+7,FALSE)=1,7,IF(VLOOKUP($C43,$C$6:$AK$33,18+8,FALSE)=1,8,9)))))))))</f>
        <v/>
      </c>
      <c r="H43" s="8" t="str">
        <f>IF($C43="","",VLOOKUP($C43,$C$6:$AK$33,35,FALSE))</f>
        <v/>
      </c>
      <c r="I43" s="89">
        <v>8</v>
      </c>
      <c r="J43" s="53" t="str">
        <f>IF($C43="","",VLOOKUP($C43,$C$6:$AZ$33,17+AD$4,FALSE))</f>
        <v/>
      </c>
      <c r="K43" s="288" t="str">
        <f>IF($C43="","",VLOOKUP($C43,$C$6:$AZ$33,17+AE$4,FALSE))</f>
        <v/>
      </c>
      <c r="L43" s="288" t="str">
        <f>IF($C43="","",VLOOKUP($C43,$C$6:$AZ$33,17+AF$4,FALSE))</f>
        <v/>
      </c>
      <c r="M43" s="288" t="str">
        <f>IF($C43="","",VLOOKUP($C43,$C$6:$AZ$33,17+AG$4,FALSE))</f>
        <v/>
      </c>
      <c r="N43" s="288" t="str">
        <f>IF($C43="","",VLOOKUP($C43,$C$6:$AZ$33,17+AH$4,FALSE))</f>
        <v/>
      </c>
      <c r="O43" s="53" t="str">
        <f>IF($C43="","",VLOOKUP($C43,$C$6:$AZ$33,1+AI$4,FALSE))</f>
        <v/>
      </c>
      <c r="P43" s="289" t="str">
        <f>IF($C43="","",VLOOKUP($C43,$C$6:$AZ$33,1+AJ$4,FALSE))</f>
        <v/>
      </c>
      <c r="Q43" s="118" t="str">
        <f>IF($C43="","",IF($D43="DH","-",VLOOKUP($C43,$C$5:$AZ$33,9+VLOOKUP($D43,$T$35:$U$43,2,FALSE),FALSE)))</f>
        <v/>
      </c>
      <c r="R43" s="102" t="str">
        <f>IF($C43="","",IF($D43="DH","-",VLOOKUP($C43,$C$5:$AZ$33,VLOOKUP($D43,$T$35:$V$43,3,FALSE),FALSE)))</f>
        <v/>
      </c>
      <c r="T43" s="54" t="s">
        <v>103</v>
      </c>
      <c r="U43" s="54">
        <v>9</v>
      </c>
      <c r="V43" s="287">
        <v>10</v>
      </c>
      <c r="W43" s="286" t="str">
        <f t="shared" si="71"/>
        <v/>
      </c>
      <c r="X43" s="287" t="str">
        <f t="shared" si="72"/>
        <v/>
      </c>
    </row>
    <row r="44" spans="1:52">
      <c r="B44" s="39">
        <v>9</v>
      </c>
      <c r="C44" s="59"/>
      <c r="D44" s="40" t="s">
        <v>98</v>
      </c>
      <c r="E44" s="42" t="str">
        <f>IF($C44="","",VLOOKUP($C44,$C$6:$AK$33,$E$4-2,FALSE))</f>
        <v/>
      </c>
      <c r="F44" s="286" t="str">
        <f>IF($C44="","",VLOOKUP($C44,$C$6:$AK$33,18+$B44,FALSE))</f>
        <v/>
      </c>
      <c r="G44" s="286" t="str">
        <f>IF($C44="","",IF(VLOOKUP($C44,$C$6:$AK$33,18+3,FALSE)=1,3,IF(VLOOKUP($C44,$C$6:$AK$33,18+4,FALSE)=1,4,IF(VLOOKUP($C44,$C$6:$AK$33,18+1,FALSE)=1,1,IF(VLOOKUP($C44,$C$6:$AK$33,18+5,FALSE)=1,5,IF(VLOOKUP($C44,$C$6:$AK$33,18+2,FALSE)=1,2,IF(VLOOKUP($C44,$C$6:$AK$33,18+6,FALSE)=1,6,IF(VLOOKUP($C44,$C$6:$AK$33,18+7,FALSE)=1,7,IF(VLOOKUP($C44,$C$6:$AK$33,18+8,FALSE)=1,8,9)))))))))</f>
        <v/>
      </c>
      <c r="H44" s="69" t="str">
        <f>IF($C44="","",VLOOKUP($C44,$C$6:$AK$33,35,FALSE))</f>
        <v/>
      </c>
      <c r="I44" s="90">
        <v>9</v>
      </c>
      <c r="J44" s="54" t="str">
        <f>IF($C44="","",VLOOKUP($C44,$C$6:$AZ$33,17+AD$4,FALSE))</f>
        <v/>
      </c>
      <c r="K44" s="286" t="str">
        <f>IF($C44="","",VLOOKUP($C44,$C$6:$AZ$33,17+AE$4,FALSE))</f>
        <v/>
      </c>
      <c r="L44" s="286" t="str">
        <f>IF($C44="","",VLOOKUP($C44,$C$6:$AZ$33,17+AF$4,FALSE))</f>
        <v/>
      </c>
      <c r="M44" s="286" t="str">
        <f>IF($C44="","",VLOOKUP($C44,$C$6:$AZ$33,17+AG$4,FALSE))</f>
        <v/>
      </c>
      <c r="N44" s="286" t="str">
        <f>IF($C44="","",VLOOKUP($C44,$C$6:$AZ$33,17+AH$4,FALSE))</f>
        <v/>
      </c>
      <c r="O44" s="54" t="str">
        <f>IF($C44="","",VLOOKUP($C44,$C$6:$AZ$33,1+AI$4,FALSE))</f>
        <v/>
      </c>
      <c r="P44" s="287" t="str">
        <f>IF($C44="","",VLOOKUP($C44,$C$6:$AZ$33,1+AJ$4,FALSE))</f>
        <v/>
      </c>
      <c r="Q44" s="119" t="str">
        <f>IF($C44="","",IF($D44="DH","-",VLOOKUP($C44,$C$5:$AZ$33,9+VLOOKUP($D44,$T$35:$U$43,2,FALSE),FALSE)))</f>
        <v/>
      </c>
      <c r="R44" s="103" t="str">
        <f>IF($C44="","",IF($D44="DH","-",VLOOKUP($C44,$C$5:$AZ$33,VLOOKUP($D44,$T$35:$V$43,3,FALSE),FALSE)))</f>
        <v/>
      </c>
    </row>
    <row r="45" spans="1:52">
      <c r="B45" s="4"/>
      <c r="C45" s="37"/>
      <c r="D45" s="37"/>
      <c r="E45" s="37"/>
      <c r="F45" s="288"/>
      <c r="G45" s="288"/>
      <c r="H45" s="9"/>
    </row>
    <row r="46" spans="1:52">
      <c r="B46" s="32" t="s">
        <v>197</v>
      </c>
      <c r="C46" s="35">
        <f>COUNTA(C6:C17,C20:C27,C30:C33)</f>
        <v>13</v>
      </c>
      <c r="D46" s="318">
        <f>C46/$C$48</f>
        <v>0.52</v>
      </c>
      <c r="E46" s="37"/>
      <c r="F46" s="288"/>
      <c r="G46" s="288"/>
      <c r="H46" s="9"/>
    </row>
    <row r="47" spans="1:52">
      <c r="B47" s="36" t="s">
        <v>198</v>
      </c>
      <c r="C47" s="38">
        <f>COUNTA(C51:C56,C59:C60,C63:C72)</f>
        <v>12</v>
      </c>
      <c r="D47" s="318">
        <f>C47/$C$48</f>
        <v>0.48</v>
      </c>
      <c r="E47" s="37"/>
      <c r="F47" s="288"/>
      <c r="G47" s="288"/>
      <c r="H47" s="9"/>
    </row>
    <row r="48" spans="1:52">
      <c r="B48" s="39" t="s">
        <v>199</v>
      </c>
      <c r="C48" s="42">
        <f>C46+C47</f>
        <v>25</v>
      </c>
      <c r="D48" s="37"/>
      <c r="E48" s="37"/>
      <c r="F48" s="288"/>
      <c r="G48" s="288"/>
      <c r="H48" s="9"/>
    </row>
    <row r="49" spans="1:33">
      <c r="I49">
        <v>6</v>
      </c>
      <c r="K49">
        <v>11</v>
      </c>
      <c r="L49">
        <v>12</v>
      </c>
      <c r="M49">
        <v>13</v>
      </c>
      <c r="N49">
        <v>17</v>
      </c>
      <c r="O49">
        <f>N49+2</f>
        <v>19</v>
      </c>
      <c r="P49">
        <f t="shared" ref="P49:Y49" si="73">O49+2</f>
        <v>21</v>
      </c>
      <c r="Q49">
        <f t="shared" si="73"/>
        <v>23</v>
      </c>
      <c r="R49">
        <f t="shared" si="73"/>
        <v>25</v>
      </c>
      <c r="S49">
        <f t="shared" si="73"/>
        <v>27</v>
      </c>
      <c r="T49">
        <f t="shared" si="73"/>
        <v>29</v>
      </c>
      <c r="U49">
        <f t="shared" si="73"/>
        <v>31</v>
      </c>
      <c r="V49">
        <f t="shared" si="73"/>
        <v>33</v>
      </c>
      <c r="W49">
        <f t="shared" si="73"/>
        <v>35</v>
      </c>
      <c r="X49">
        <f t="shared" si="73"/>
        <v>37</v>
      </c>
      <c r="Y49">
        <f t="shared" si="73"/>
        <v>39</v>
      </c>
      <c r="Z49">
        <v>41</v>
      </c>
      <c r="AA49">
        <v>42</v>
      </c>
      <c r="AB49">
        <v>43</v>
      </c>
      <c r="AC49">
        <v>46</v>
      </c>
      <c r="AD49">
        <v>14</v>
      </c>
      <c r="AE49">
        <v>15</v>
      </c>
      <c r="AF49">
        <v>16</v>
      </c>
      <c r="AG49">
        <v>48</v>
      </c>
    </row>
    <row r="50" spans="1:33" s="288" customFormat="1" ht="74.25">
      <c r="A50" s="73" t="s">
        <v>196</v>
      </c>
      <c r="B50" s="283" t="s">
        <v>129</v>
      </c>
      <c r="C50" s="44" t="s">
        <v>121</v>
      </c>
      <c r="D50" s="44" t="s">
        <v>94</v>
      </c>
      <c r="E50" s="50" t="s">
        <v>105</v>
      </c>
      <c r="F50" s="46" t="s">
        <v>186</v>
      </c>
      <c r="G50" s="46" t="s">
        <v>187</v>
      </c>
      <c r="H50" s="46" t="s">
        <v>188</v>
      </c>
      <c r="I50" s="76" t="s">
        <v>217</v>
      </c>
      <c r="J50" s="76" t="s">
        <v>192</v>
      </c>
      <c r="K50" s="74" t="s">
        <v>189</v>
      </c>
      <c r="L50" s="74" t="s">
        <v>190</v>
      </c>
      <c r="M50" s="75" t="s">
        <v>191</v>
      </c>
      <c r="N50" s="74" t="s">
        <v>63</v>
      </c>
      <c r="O50" s="74" t="s">
        <v>65</v>
      </c>
      <c r="P50" s="74" t="s">
        <v>67</v>
      </c>
      <c r="Q50" s="74" t="s">
        <v>69</v>
      </c>
      <c r="R50" s="74" t="s">
        <v>71</v>
      </c>
      <c r="S50" s="74" t="s">
        <v>111</v>
      </c>
      <c r="T50" s="74" t="s">
        <v>74</v>
      </c>
      <c r="U50" s="74" t="s">
        <v>76</v>
      </c>
      <c r="V50" s="74" t="s">
        <v>78</v>
      </c>
      <c r="W50" s="74" t="s">
        <v>80</v>
      </c>
      <c r="X50" s="74" t="s">
        <v>82</v>
      </c>
      <c r="Y50" s="75" t="s">
        <v>84</v>
      </c>
      <c r="Z50" s="79" t="s">
        <v>203</v>
      </c>
      <c r="AA50" s="74" t="s">
        <v>202</v>
      </c>
      <c r="AB50" s="75" t="s">
        <v>204</v>
      </c>
      <c r="AC50" s="319" t="s">
        <v>647</v>
      </c>
      <c r="AD50" s="74" t="s">
        <v>189</v>
      </c>
      <c r="AE50" s="74" t="s">
        <v>190</v>
      </c>
      <c r="AF50" s="75" t="s">
        <v>191</v>
      </c>
      <c r="AG50" s="319" t="s">
        <v>201</v>
      </c>
    </row>
    <row r="51" spans="1:33">
      <c r="A51" s="288">
        <v>1</v>
      </c>
      <c r="B51" s="36" t="s">
        <v>111</v>
      </c>
      <c r="C51" s="288" t="s">
        <v>454</v>
      </c>
      <c r="D51" s="37">
        <f>IF($C51="","",VLOOKUP($C51,CTPit!$E$10:$BG$214,D$4,FALSE))</f>
        <v>33</v>
      </c>
      <c r="E51" s="38" t="str">
        <f>IF($C51="","",VLOOKUP($C51,CTPit!$E$10:$BG$214,E$4+1,FALSE))</f>
        <v>R</v>
      </c>
      <c r="F51" s="288">
        <f>IF($C51="","",IF(AG51&gt;7,1,0))</f>
        <v>0</v>
      </c>
      <c r="G51" s="288">
        <f>IF($C51="","",IF(AG51&gt;6.5,1,0))</f>
        <v>1</v>
      </c>
      <c r="H51" s="288">
        <f>IF($C51="","",IF(AG51&gt;6,1,0))</f>
        <v>1</v>
      </c>
      <c r="I51" s="99" t="str">
        <f>IF($C51="","",VLOOKUP($C51,CTPit!$E$10:$BG$172,I$49,FALSE))</f>
        <v>R</v>
      </c>
      <c r="J51" s="77">
        <f t="shared" ref="J51:J56" si="74">IF($C51="","",COUNT(N51:Y51))</f>
        <v>7</v>
      </c>
      <c r="K51" s="288">
        <f>IF($C51="","",VLOOKUP($C51,CTPit!$E$10:$BG$172,K$49,FALSE))</f>
        <v>6</v>
      </c>
      <c r="L51" s="288">
        <f>IF($C51="","",VLOOKUP($C51,CTPit!$E$10:$BG$172,L$49,FALSE))</f>
        <v>5</v>
      </c>
      <c r="M51" s="289">
        <f>IF($C51="","",VLOOKUP($C51,CTPit!$E$10:$BG$172,M$49,FALSE))</f>
        <v>6</v>
      </c>
      <c r="N51" s="288">
        <f>IF($C51="","",VLOOKUP($C51,CTPit!$E$10:$BG$172,N$49,FALSE))</f>
        <v>5</v>
      </c>
      <c r="O51" s="288">
        <f>IF($C51="","",VLOOKUP($C51,CTPit!$E$10:$BG$172,O$49,FALSE))</f>
        <v>5</v>
      </c>
      <c r="P51" s="288" t="str">
        <f>IF($C51="","",VLOOKUP($C51,CTPit!$E$10:$BG$172,P$49,FALSE))</f>
        <v>-</v>
      </c>
      <c r="Q51" s="288">
        <f>IF($C51="","",VLOOKUP($C51,CTPit!$E$10:$BG$172,Q$49,FALSE))</f>
        <v>5</v>
      </c>
      <c r="R51" s="288">
        <f>IF($C51="","",VLOOKUP($C51,CTPit!$E$10:$BG$172,R$49,FALSE))</f>
        <v>5</v>
      </c>
      <c r="S51" s="288">
        <f>IF($C51="","",VLOOKUP($C51,CTPit!$E$10:$BG$172,S$49,FALSE))</f>
        <v>5</v>
      </c>
      <c r="T51" s="288">
        <f>IF($C51="","",VLOOKUP($C51,CTPit!$E$10:$BG$172,T$49,FALSE))</f>
        <v>5</v>
      </c>
      <c r="U51" s="288" t="str">
        <f>IF($C51="","",VLOOKUP($C51,CTPit!$E$10:$BG$172,U$49,FALSE))</f>
        <v>-</v>
      </c>
      <c r="V51" s="288" t="str">
        <f>IF($C51="","",VLOOKUP($C51,CTPit!$E$10:$BG$172,V$49,FALSE))</f>
        <v>-</v>
      </c>
      <c r="W51" s="288" t="str">
        <f>IF($C51="","",VLOOKUP($C51,CTPit!$E$10:$BG$172,W$49,FALSE))</f>
        <v>-</v>
      </c>
      <c r="X51" s="288">
        <f>IF($C51="","",VLOOKUP($C51,CTPit!$E$10:$BG$172,X$49,FALSE))</f>
        <v>5</v>
      </c>
      <c r="Y51" s="289" t="str">
        <f>IF($C51="","",VLOOKUP($C51,CTPit!$E$10:$BG$172,Y$49,FALSE))</f>
        <v>-</v>
      </c>
      <c r="Z51" s="53" t="str">
        <f>IF($C51="","",VLOOKUP($C51,CTPit!$E$10:$BG$172,Z$49,FALSE))</f>
        <v>91-93 Mph</v>
      </c>
      <c r="AA51" s="288">
        <f>IF($C51="","",VLOOKUP($C51,CTPit!$E$10:$BG$172,AA$49,FALSE))</f>
        <v>9</v>
      </c>
      <c r="AB51" s="80">
        <f>IF($C51="","",VLOOKUP($C51,CTPit!$E$10:$BG$172,AB$49,FALSE))</f>
        <v>0.65</v>
      </c>
      <c r="AC51" s="320">
        <f>IF($C51="","",VLOOKUP($C51,CTPit!$E$10:$BG$172,AC$49,FALSE))</f>
        <v>6.916666666666667</v>
      </c>
      <c r="AD51" s="288">
        <f>IF($C51="","",VLOOKUP($C51,CTPit!$E$10:$BG$172,AD$49,FALSE))</f>
        <v>6</v>
      </c>
      <c r="AE51" s="288">
        <f>IF($C51="","",VLOOKUP($C51,CTPit!$E$10:$BG$172,AE$49,FALSE))</f>
        <v>5</v>
      </c>
      <c r="AF51" s="289">
        <f>IF($C51="","",VLOOKUP($C51,CTPit!$E$10:$BG$172,AF$49,FALSE))</f>
        <v>6</v>
      </c>
      <c r="AG51" s="320">
        <f>IF($C51="","",VLOOKUP($C51,CTPit!$E$10:$BG$172,AG$49,FALSE))</f>
        <v>6.916666666666667</v>
      </c>
    </row>
    <row r="52" spans="1:33">
      <c r="A52" s="288">
        <v>2</v>
      </c>
      <c r="B52" s="36" t="s">
        <v>111</v>
      </c>
      <c r="C52" s="37" t="s">
        <v>585</v>
      </c>
      <c r="D52" s="37">
        <f>IF($C52="","",VLOOKUP($C52,CTPit!$E$10:$BG$214,D$4,FALSE))</f>
        <v>27</v>
      </c>
      <c r="E52" s="38" t="str">
        <f>IF($C52="","",VLOOKUP($C52,CTPit!$E$10:$BG$214,E$4+1,FALSE))</f>
        <v>R</v>
      </c>
      <c r="F52" s="288">
        <f t="shared" ref="F52:F56" si="75">IF($C52="","",IF(AG52&gt;7,1,0))</f>
        <v>0</v>
      </c>
      <c r="G52" s="288">
        <f t="shared" ref="G52:G56" si="76">IF($C52="","",IF(AG52&gt;6.5,1,0))</f>
        <v>0</v>
      </c>
      <c r="H52" s="288">
        <f t="shared" ref="H52:H56" si="77">IF($C52="","",IF(AG52&gt;6,1,0))</f>
        <v>1</v>
      </c>
      <c r="I52" s="100" t="str">
        <f>IF($C52="","",VLOOKUP($C52,CTPit!$E$10:$BG$172,I$49,FALSE))</f>
        <v>R</v>
      </c>
      <c r="J52" s="77">
        <f t="shared" si="74"/>
        <v>4</v>
      </c>
      <c r="K52" s="288">
        <f>IF($C52="","",VLOOKUP($C52,CTPit!$E$10:$BG$172,K$49,FALSE))</f>
        <v>5</v>
      </c>
      <c r="L52" s="288">
        <f>IF($C52="","",VLOOKUP($C52,CTPit!$E$10:$BG$172,L$49,FALSE))</f>
        <v>7</v>
      </c>
      <c r="M52" s="289">
        <f>IF($C52="","",VLOOKUP($C52,CTPit!$E$10:$BG$172,M$49,FALSE))</f>
        <v>5</v>
      </c>
      <c r="N52" s="288">
        <f>IF($C52="","",VLOOKUP($C52,CTPit!$E$10:$BG$172,N$49,FALSE))</f>
        <v>6</v>
      </c>
      <c r="O52" s="288">
        <f>IF($C52="","",VLOOKUP($C52,CTPit!$E$10:$BG$172,O$49,FALSE))</f>
        <v>5</v>
      </c>
      <c r="P52" s="288" t="str">
        <f>IF($C52="","",VLOOKUP($C52,CTPit!$E$10:$BG$172,P$49,FALSE))</f>
        <v>-</v>
      </c>
      <c r="Q52" s="288">
        <f>IF($C52="","",VLOOKUP($C52,CTPit!$E$10:$BG$172,Q$49,FALSE))</f>
        <v>5</v>
      </c>
      <c r="R52" s="288">
        <f>IF($C52="","",VLOOKUP($C52,CTPit!$E$10:$BG$172,R$49,FALSE))</f>
        <v>6</v>
      </c>
      <c r="S52" s="288" t="str">
        <f>IF($C52="","",VLOOKUP($C52,CTPit!$E$10:$BG$172,S$49,FALSE))</f>
        <v>-</v>
      </c>
      <c r="T52" s="288" t="str">
        <f>IF($C52="","",VLOOKUP($C52,CTPit!$E$10:$BG$172,T$49,FALSE))</f>
        <v>-</v>
      </c>
      <c r="U52" s="288" t="str">
        <f>IF($C52="","",VLOOKUP($C52,CTPit!$E$10:$BG$172,U$49,FALSE))</f>
        <v>-</v>
      </c>
      <c r="V52" s="288" t="str">
        <f>IF($C52="","",VLOOKUP($C52,CTPit!$E$10:$BG$172,V$49,FALSE))</f>
        <v>-</v>
      </c>
      <c r="W52" s="288" t="str">
        <f>IF($C52="","",VLOOKUP($C52,CTPit!$E$10:$BG$172,W$49,FALSE))</f>
        <v>-</v>
      </c>
      <c r="X52" s="288" t="str">
        <f>IF($C52="","",VLOOKUP($C52,CTPit!$E$10:$BG$172,X$49,FALSE))</f>
        <v>-</v>
      </c>
      <c r="Y52" s="289" t="str">
        <f>IF($C52="","",VLOOKUP($C52,CTPit!$E$10:$BG$172,Y$49,FALSE))</f>
        <v>-</v>
      </c>
      <c r="Z52" s="53" t="str">
        <f>IF($C52="","",VLOOKUP($C52,CTPit!$E$10:$BG$172,Z$49,FALSE))</f>
        <v>90-92 Mph</v>
      </c>
      <c r="AA52" s="288">
        <f>IF($C52="","",VLOOKUP($C52,CTPit!$E$10:$BG$172,AA$49,FALSE))</f>
        <v>9</v>
      </c>
      <c r="AB52" s="80">
        <f>IF($C52="","",VLOOKUP($C52,CTPit!$E$10:$BG$172,AB$49,FALSE))</f>
        <v>0.6</v>
      </c>
      <c r="AC52" s="67">
        <f>IF($C52="","",VLOOKUP($C52,CTPit!$E$10:$BG$172,AC$49,FALSE))</f>
        <v>6.416666666666667</v>
      </c>
      <c r="AD52" s="288">
        <f>IF($C52="","",VLOOKUP($C52,CTPit!$E$10:$BG$172,AD$49,FALSE))</f>
        <v>5</v>
      </c>
      <c r="AE52" s="288">
        <f>IF($C52="","",VLOOKUP($C52,CTPit!$E$10:$BG$172,AE$49,FALSE))</f>
        <v>7</v>
      </c>
      <c r="AF52" s="289">
        <f>IF($C52="","",VLOOKUP($C52,CTPit!$E$10:$BG$172,AF$49,FALSE))</f>
        <v>5</v>
      </c>
      <c r="AG52" s="67">
        <f>IF($C52="","",VLOOKUP($C52,CTPit!$E$10:$BG$172,AG$49,FALSE))</f>
        <v>6.416666666666667</v>
      </c>
    </row>
    <row r="53" spans="1:33">
      <c r="A53" s="288">
        <v>3</v>
      </c>
      <c r="B53" s="36" t="s">
        <v>111</v>
      </c>
      <c r="C53" s="65" t="s">
        <v>447</v>
      </c>
      <c r="D53" s="37">
        <f>IF($C53="","",VLOOKUP($C53,CTPit!$E$10:$BG$214,D$4,FALSE))</f>
        <v>25</v>
      </c>
      <c r="E53" s="38" t="str">
        <f>IF($C53="","",VLOOKUP($C53,CTPit!$E$10:$BG$214,E$4+1,FALSE))</f>
        <v>R</v>
      </c>
      <c r="F53" s="288">
        <f t="shared" si="75"/>
        <v>0</v>
      </c>
      <c r="G53" s="288">
        <f t="shared" si="76"/>
        <v>0</v>
      </c>
      <c r="H53" s="288">
        <f t="shared" si="77"/>
        <v>0</v>
      </c>
      <c r="I53" s="100" t="str">
        <f>IF($C53="","",VLOOKUP($C53,CTPit!$E$10:$BG$172,I$49,FALSE))</f>
        <v>R</v>
      </c>
      <c r="J53" s="77">
        <f t="shared" si="74"/>
        <v>3</v>
      </c>
      <c r="K53" s="288">
        <f>IF($C53="","",VLOOKUP($C53,CTPit!$E$10:$BG$172,K$49,FALSE))</f>
        <v>6</v>
      </c>
      <c r="L53" s="288">
        <f>IF($C53="","",VLOOKUP($C53,CTPit!$E$10:$BG$172,L$49,FALSE))</f>
        <v>7</v>
      </c>
      <c r="M53" s="289">
        <f>IF($C53="","",VLOOKUP($C53,CTPit!$E$10:$BG$172,M$49,FALSE))</f>
        <v>3</v>
      </c>
      <c r="N53" s="288">
        <f>IF($C53="","",VLOOKUP($C53,CTPit!$E$10:$BG$172,N$49,FALSE))</f>
        <v>8</v>
      </c>
      <c r="O53" s="288">
        <f>IF($C53="","",VLOOKUP($C53,CTPit!$E$10:$BG$172,O$49,FALSE))</f>
        <v>3</v>
      </c>
      <c r="P53" s="288">
        <f>IF($C53="","",VLOOKUP($C53,CTPit!$E$10:$BG$172,P$49,FALSE))</f>
        <v>8</v>
      </c>
      <c r="Q53" s="288" t="str">
        <f>IF($C53="","",VLOOKUP($C53,CTPit!$E$10:$BG$172,Q$49,FALSE))</f>
        <v>-</v>
      </c>
      <c r="R53" s="288" t="str">
        <f>IF($C53="","",VLOOKUP($C53,CTPit!$E$10:$BG$172,R$49,FALSE))</f>
        <v>-</v>
      </c>
      <c r="S53" s="288" t="str">
        <f>IF($C53="","",VLOOKUP($C53,CTPit!$E$10:$BG$172,S$49,FALSE))</f>
        <v>-</v>
      </c>
      <c r="T53" s="288" t="str">
        <f>IF($C53="","",VLOOKUP($C53,CTPit!$E$10:$BG$172,T$49,FALSE))</f>
        <v>-</v>
      </c>
      <c r="U53" s="288" t="str">
        <f>IF($C53="","",VLOOKUP($C53,CTPit!$E$10:$BG$172,U$49,FALSE))</f>
        <v>-</v>
      </c>
      <c r="V53" s="288" t="str">
        <f>IF($C53="","",VLOOKUP($C53,CTPit!$E$10:$BG$172,V$49,FALSE))</f>
        <v>-</v>
      </c>
      <c r="W53" s="288" t="str">
        <f>IF($C53="","",VLOOKUP($C53,CTPit!$E$10:$BG$172,W$49,FALSE))</f>
        <v>-</v>
      </c>
      <c r="X53" s="288" t="str">
        <f>IF($C53="","",VLOOKUP($C53,CTPit!$E$10:$BG$172,X$49,FALSE))</f>
        <v>-</v>
      </c>
      <c r="Y53" s="289" t="str">
        <f>IF($C53="","",VLOOKUP($C53,CTPit!$E$10:$BG$172,Y$49,FALSE))</f>
        <v>-</v>
      </c>
      <c r="Z53" s="53" t="str">
        <f>IF($C53="","",VLOOKUP($C53,CTPit!$E$10:$BG$172,Z$49,FALSE))</f>
        <v>95-97 Mph</v>
      </c>
      <c r="AA53" s="288">
        <f>IF($C53="","",VLOOKUP($C53,CTPit!$E$10:$BG$172,AA$49,FALSE))</f>
        <v>5</v>
      </c>
      <c r="AB53" s="80">
        <f>IF($C53="","",VLOOKUP($C53,CTPit!$E$10:$BG$172,AB$49,FALSE))</f>
        <v>0.68</v>
      </c>
      <c r="AC53" s="67">
        <f>IF($C53="","",VLOOKUP($C53,CTPit!$E$10:$BG$172,AC$49,FALSE))</f>
        <v>5.833333333333333</v>
      </c>
      <c r="AD53" s="288">
        <f>IF($C53="","",VLOOKUP($C53,CTPit!$E$10:$BG$172,AD$49,FALSE))</f>
        <v>6</v>
      </c>
      <c r="AE53" s="288">
        <f>IF($C53="","",VLOOKUP($C53,CTPit!$E$10:$BG$172,AE$49,FALSE))</f>
        <v>7</v>
      </c>
      <c r="AF53" s="289">
        <f>IF($C53="","",VLOOKUP($C53,CTPit!$E$10:$BG$172,AF$49,FALSE))</f>
        <v>3</v>
      </c>
      <c r="AG53" s="67">
        <f>IF($C53="","",VLOOKUP($C53,CTPit!$E$10:$BG$172,AG$49,FALSE))</f>
        <v>5.833333333333333</v>
      </c>
    </row>
    <row r="54" spans="1:33">
      <c r="A54" s="288">
        <v>4</v>
      </c>
      <c r="B54" s="36" t="s">
        <v>111</v>
      </c>
      <c r="C54" s="65" t="s">
        <v>13</v>
      </c>
      <c r="D54" s="37">
        <f>IF($C54="","",VLOOKUP($C54,CTPit!$E$10:$BG$214,D$4,FALSE))</f>
        <v>25</v>
      </c>
      <c r="E54" s="38" t="str">
        <f>IF($C54="","",VLOOKUP($C54,CTPit!$E$10:$BG$214,E$4+1,FALSE))</f>
        <v>R</v>
      </c>
      <c r="F54" s="288">
        <f t="shared" si="75"/>
        <v>0</v>
      </c>
      <c r="G54" s="288">
        <f t="shared" si="76"/>
        <v>0</v>
      </c>
      <c r="H54" s="288">
        <f t="shared" si="77"/>
        <v>0</v>
      </c>
      <c r="I54" s="100" t="str">
        <f>IF($C54="","",VLOOKUP($C54,CTPit!$E$10:$BG$172,I$49,FALSE))</f>
        <v>R</v>
      </c>
      <c r="J54" s="77">
        <f t="shared" si="74"/>
        <v>3</v>
      </c>
      <c r="K54" s="288">
        <f>IF($C54="","",VLOOKUP($C54,CTPit!$E$10:$BG$172,K$49,FALSE))</f>
        <v>4</v>
      </c>
      <c r="L54" s="288">
        <f>IF($C54="","",VLOOKUP($C54,CTPit!$E$10:$BG$172,L$49,FALSE))</f>
        <v>7</v>
      </c>
      <c r="M54" s="289">
        <f>IF($C54="","",VLOOKUP($C54,CTPit!$E$10:$BG$172,M$49,FALSE))</f>
        <v>5</v>
      </c>
      <c r="N54" s="288">
        <f>IF($C54="","",VLOOKUP($C54,CTPit!$E$10:$BG$172,N$49,FALSE))</f>
        <v>6</v>
      </c>
      <c r="O54" s="288">
        <f>IF($C54="","",VLOOKUP($C54,CTPit!$E$10:$BG$172,O$49,FALSE))</f>
        <v>4</v>
      </c>
      <c r="P54" s="288">
        <f>IF($C54="","",VLOOKUP($C54,CTPit!$E$10:$BG$172,P$49,FALSE))</f>
        <v>4</v>
      </c>
      <c r="Q54" s="288" t="str">
        <f>IF($C54="","",VLOOKUP($C54,CTPit!$E$10:$BG$172,Q$49,FALSE))</f>
        <v>-</v>
      </c>
      <c r="R54" s="288" t="str">
        <f>IF($C54="","",VLOOKUP($C54,CTPit!$E$10:$BG$172,R$49,FALSE))</f>
        <v>-</v>
      </c>
      <c r="S54" s="288" t="str">
        <f>IF($C54="","",VLOOKUP($C54,CTPit!$E$10:$BG$172,S$49,FALSE))</f>
        <v>-</v>
      </c>
      <c r="T54" s="288" t="str">
        <f>IF($C54="","",VLOOKUP($C54,CTPit!$E$10:$BG$172,T$49,FALSE))</f>
        <v>-</v>
      </c>
      <c r="U54" s="288" t="str">
        <f>IF($C54="","",VLOOKUP($C54,CTPit!$E$10:$BG$172,U$49,FALSE))</f>
        <v>-</v>
      </c>
      <c r="V54" s="288" t="str">
        <f>IF($C54="","",VLOOKUP($C54,CTPit!$E$10:$BG$172,V$49,FALSE))</f>
        <v>-</v>
      </c>
      <c r="W54" s="288" t="str">
        <f>IF($C54="","",VLOOKUP($C54,CTPit!$E$10:$BG$172,W$49,FALSE))</f>
        <v>-</v>
      </c>
      <c r="X54" s="288" t="str">
        <f>IF($C54="","",VLOOKUP($C54,CTPit!$E$10:$BG$172,X$49,FALSE))</f>
        <v>-</v>
      </c>
      <c r="Y54" s="289" t="str">
        <f>IF($C54="","",VLOOKUP($C54,CTPit!$E$10:$BG$172,Y$49,FALSE))</f>
        <v>-</v>
      </c>
      <c r="Z54" s="53" t="str">
        <f>IF($C54="","",VLOOKUP($C54,CTPit!$E$10:$BG$172,Z$49,FALSE))</f>
        <v>95-97 Mph</v>
      </c>
      <c r="AA54" s="288">
        <f>IF($C54="","",VLOOKUP($C54,CTPit!$E$10:$BG$172,AA$49,FALSE))</f>
        <v>4</v>
      </c>
      <c r="AB54" s="80">
        <f>IF($C54="","",VLOOKUP($C54,CTPit!$E$10:$BG$172,AB$49,FALSE))</f>
        <v>0.63</v>
      </c>
      <c r="AC54" s="67">
        <f>IF($C54="","",VLOOKUP($C54,CTPit!$E$10:$BG$172,AC$49,FALSE))</f>
        <v>5.833333333333333</v>
      </c>
      <c r="AD54" s="288">
        <f>IF($C54="","",VLOOKUP($C54,CTPit!$E$10:$BG$172,AD$49,FALSE))</f>
        <v>4</v>
      </c>
      <c r="AE54" s="288">
        <f>IF($C54="","",VLOOKUP($C54,CTPit!$E$10:$BG$172,AE$49,FALSE))</f>
        <v>7</v>
      </c>
      <c r="AF54" s="289">
        <f>IF($C54="","",VLOOKUP($C54,CTPit!$E$10:$BG$172,AF$49,FALSE))</f>
        <v>5</v>
      </c>
      <c r="AG54" s="67">
        <f>IF($C54="","",VLOOKUP($C54,CTPit!$E$10:$BG$172,AG$49,FALSE))</f>
        <v>5.833333333333333</v>
      </c>
    </row>
    <row r="55" spans="1:33">
      <c r="A55" s="288">
        <v>5</v>
      </c>
      <c r="B55" s="36" t="s">
        <v>111</v>
      </c>
      <c r="C55" s="65" t="s">
        <v>452</v>
      </c>
      <c r="D55" s="37">
        <f>IF($C55="","",VLOOKUP($C55,CTPit!$E$10:$BG$214,D$4,FALSE))</f>
        <v>23</v>
      </c>
      <c r="E55" s="38" t="str">
        <f>IF($C55="","",VLOOKUP($C55,CTPit!$E$10:$BG$214,E$4+1,FALSE))</f>
        <v>L</v>
      </c>
      <c r="F55" s="288">
        <f t="shared" si="75"/>
        <v>0</v>
      </c>
      <c r="G55" s="288">
        <f t="shared" si="76"/>
        <v>0</v>
      </c>
      <c r="H55" s="288">
        <f t="shared" si="77"/>
        <v>0</v>
      </c>
      <c r="I55" s="100" t="str">
        <f>IF($C55="","",VLOOKUP($C55,CTPit!$E$10:$BG$172,I$49,FALSE))</f>
        <v>L</v>
      </c>
      <c r="J55" s="77">
        <f t="shared" si="74"/>
        <v>3</v>
      </c>
      <c r="K55" s="288">
        <f>IF($C55="","",VLOOKUP($C55,CTPit!$E$10:$BG$172,K$49,FALSE))</f>
        <v>7</v>
      </c>
      <c r="L55" s="288">
        <f>IF($C55="","",VLOOKUP($C55,CTPit!$E$10:$BG$172,L$49,FALSE))</f>
        <v>5</v>
      </c>
      <c r="M55" s="289">
        <f>IF($C55="","",VLOOKUP($C55,CTPit!$E$10:$BG$172,M$49,FALSE))</f>
        <v>3</v>
      </c>
      <c r="N55" s="288">
        <f>IF($C55="","",VLOOKUP($C55,CTPit!$E$10:$BG$172,N$49,FALSE))</f>
        <v>7</v>
      </c>
      <c r="O55" s="288">
        <f>IF($C55="","",VLOOKUP($C55,CTPit!$E$10:$BG$172,O$49,FALSE))</f>
        <v>9</v>
      </c>
      <c r="P55" s="288" t="str">
        <f>IF($C55="","",VLOOKUP($C55,CTPit!$E$10:$BG$172,P$49,FALSE))</f>
        <v>-</v>
      </c>
      <c r="Q55" s="288">
        <f>IF($C55="","",VLOOKUP($C55,CTPit!$E$10:$BG$172,Q$49,FALSE))</f>
        <v>8</v>
      </c>
      <c r="R55" s="288" t="str">
        <f>IF($C55="","",VLOOKUP($C55,CTPit!$E$10:$BG$172,R$49,FALSE))</f>
        <v>-</v>
      </c>
      <c r="S55" s="288" t="str">
        <f>IF($C55="","",VLOOKUP($C55,CTPit!$E$10:$BG$172,S$49,FALSE))</f>
        <v>-</v>
      </c>
      <c r="T55" s="288" t="str">
        <f>IF($C55="","",VLOOKUP($C55,CTPit!$E$10:$BG$172,T$49,FALSE))</f>
        <v>-</v>
      </c>
      <c r="U55" s="288" t="str">
        <f>IF($C55="","",VLOOKUP($C55,CTPit!$E$10:$BG$172,U$49,FALSE))</f>
        <v>-</v>
      </c>
      <c r="V55" s="288" t="str">
        <f>IF($C55="","",VLOOKUP($C55,CTPit!$E$10:$BG$172,V$49,FALSE))</f>
        <v>-</v>
      </c>
      <c r="W55" s="288" t="str">
        <f>IF($C55="","",VLOOKUP($C55,CTPit!$E$10:$BG$172,W$49,FALSE))</f>
        <v>-</v>
      </c>
      <c r="X55" s="288" t="str">
        <f>IF($C55="","",VLOOKUP($C55,CTPit!$E$10:$BG$172,X$49,FALSE))</f>
        <v>-</v>
      </c>
      <c r="Y55" s="289" t="str">
        <f>IF($C55="","",VLOOKUP($C55,CTPit!$E$10:$BG$172,Y$49,FALSE))</f>
        <v>-</v>
      </c>
      <c r="Z55" s="53" t="str">
        <f>IF($C55="","",VLOOKUP($C55,CTPit!$E$10:$BG$172,Z$49,FALSE))</f>
        <v>92-94 Mph</v>
      </c>
      <c r="AA55" s="288">
        <f>IF($C55="","",VLOOKUP($C55,CTPit!$E$10:$BG$172,AA$49,FALSE))</f>
        <v>10</v>
      </c>
      <c r="AB55" s="80">
        <f>IF($C55="","",VLOOKUP($C55,CTPit!$E$10:$BG$172,AB$49,FALSE))</f>
        <v>0.42</v>
      </c>
      <c r="AC55" s="67">
        <f>IF($C55="","",VLOOKUP($C55,CTPit!$E$10:$BG$172,AC$49,FALSE))</f>
        <v>5.25</v>
      </c>
      <c r="AD55" s="288">
        <f>IF($C55="","",VLOOKUP($C55,CTPit!$E$10:$BG$172,AD$49,FALSE))</f>
        <v>7</v>
      </c>
      <c r="AE55" s="288">
        <f>IF($C55="","",VLOOKUP($C55,CTPit!$E$10:$BG$172,AE$49,FALSE))</f>
        <v>5</v>
      </c>
      <c r="AF55" s="289">
        <f>IF($C55="","",VLOOKUP($C55,CTPit!$E$10:$BG$172,AF$49,FALSE))</f>
        <v>5</v>
      </c>
      <c r="AG55" s="67">
        <f>IF($C55="","",VLOOKUP($C55,CTPit!$E$10:$BG$172,AG$49,FALSE))</f>
        <v>5.916666666666667</v>
      </c>
    </row>
    <row r="56" spans="1:33">
      <c r="A56" s="288">
        <v>6</v>
      </c>
      <c r="B56" s="39" t="s">
        <v>130</v>
      </c>
      <c r="C56" s="286"/>
      <c r="D56" s="40" t="str">
        <f>IF($C56="","",VLOOKUP($C56,CTPit!$E$10:$BG$214,D$4,FALSE))</f>
        <v/>
      </c>
      <c r="E56" s="42" t="str">
        <f>IF($C56="","",VLOOKUP($C56,CTPit!$E$10:$BG$214,E$4+1,FALSE))</f>
        <v/>
      </c>
      <c r="F56" s="286" t="str">
        <f t="shared" si="75"/>
        <v/>
      </c>
      <c r="G56" s="286" t="str">
        <f t="shared" si="76"/>
        <v/>
      </c>
      <c r="H56" s="286" t="str">
        <f t="shared" si="77"/>
        <v/>
      </c>
      <c r="I56" s="101" t="str">
        <f>IF($C56="","",VLOOKUP($C56,CTPit!$E$10:$BG$172,I$49,FALSE))</f>
        <v/>
      </c>
      <c r="J56" s="78" t="str">
        <f t="shared" si="74"/>
        <v/>
      </c>
      <c r="K56" s="286" t="str">
        <f>IF($C56="","",VLOOKUP($C56,CTPit!$E$10:$BG$172,K$49,FALSE))</f>
        <v/>
      </c>
      <c r="L56" s="286" t="str">
        <f>IF($C56="","",VLOOKUP($C56,CTPit!$E$10:$BG$172,L$49,FALSE))</f>
        <v/>
      </c>
      <c r="M56" s="287" t="str">
        <f>IF($C56="","",VLOOKUP($C56,CTPit!$E$10:$BG$172,M$49,FALSE))</f>
        <v/>
      </c>
      <c r="N56" s="286" t="str">
        <f>IF($C56="","",VLOOKUP($C56,CTPit!$E$10:$BG$172,N$49,FALSE))</f>
        <v/>
      </c>
      <c r="O56" s="286" t="str">
        <f>IF($C56="","",VLOOKUP($C56,CTPit!$E$10:$BG$172,O$49,FALSE))</f>
        <v/>
      </c>
      <c r="P56" s="286" t="str">
        <f>IF($C56="","",VLOOKUP($C56,CTPit!$E$10:$BG$172,P$49,FALSE))</f>
        <v/>
      </c>
      <c r="Q56" s="286" t="str">
        <f>IF($C56="","",VLOOKUP($C56,CTPit!$E$10:$BG$172,Q$49,FALSE))</f>
        <v/>
      </c>
      <c r="R56" s="286" t="str">
        <f>IF($C56="","",VLOOKUP($C56,CTPit!$E$10:$BG$172,R$49,FALSE))</f>
        <v/>
      </c>
      <c r="S56" s="286" t="str">
        <f>IF($C56="","",VLOOKUP($C56,CTPit!$E$10:$BG$172,S$49,FALSE))</f>
        <v/>
      </c>
      <c r="T56" s="286" t="str">
        <f>IF($C56="","",VLOOKUP($C56,CTPit!$E$10:$BG$172,T$49,FALSE))</f>
        <v/>
      </c>
      <c r="U56" s="286" t="str">
        <f>IF($C56="","",VLOOKUP($C56,CTPit!$E$10:$BG$172,U$49,FALSE))</f>
        <v/>
      </c>
      <c r="V56" s="286" t="str">
        <f>IF($C56="","",VLOOKUP($C56,CTPit!$E$10:$BG$172,V$49,FALSE))</f>
        <v/>
      </c>
      <c r="W56" s="286" t="str">
        <f>IF($C56="","",VLOOKUP($C56,CTPit!$E$10:$BG$172,W$49,FALSE))</f>
        <v/>
      </c>
      <c r="X56" s="286" t="str">
        <f>IF($C56="","",VLOOKUP($C56,CTPit!$E$10:$BG$172,X$49,FALSE))</f>
        <v/>
      </c>
      <c r="Y56" s="287" t="str">
        <f>IF($C56="","",VLOOKUP($C56,CTPit!$E$10:$BG$172,Y$49,FALSE))</f>
        <v/>
      </c>
      <c r="Z56" s="54" t="str">
        <f>IF($C56="","",VLOOKUP($C56,CTPit!$E$10:$BG$172,Z$49,FALSE))</f>
        <v/>
      </c>
      <c r="AA56" s="286" t="str">
        <f>IF($C56="","",VLOOKUP($C56,CTPit!$E$10:$BG$172,AA$49,FALSE))</f>
        <v/>
      </c>
      <c r="AB56" s="81" t="str">
        <f>IF($C56="","",VLOOKUP($C56,CTPit!$E$10:$BG$172,AB$49,FALSE))</f>
        <v/>
      </c>
      <c r="AC56" s="68" t="str">
        <f>IF($C56="","",VLOOKUP($C56,CTPit!$E$10:$BG$172,AC$49,FALSE))</f>
        <v/>
      </c>
      <c r="AD56" s="286" t="str">
        <f>IF($C56="","",VLOOKUP($C56,CTPit!$E$10:$BG$172,AD$49,FALSE))</f>
        <v/>
      </c>
      <c r="AE56" s="286" t="str">
        <f>IF($C56="","",VLOOKUP($C56,CTPit!$E$10:$BG$172,AE$49,FALSE))</f>
        <v/>
      </c>
      <c r="AF56" s="287" t="str">
        <f>IF($C56="","",VLOOKUP($C56,CTPit!$E$10:$BG$172,AF$49,FALSE))</f>
        <v/>
      </c>
      <c r="AG56" s="68" t="str">
        <f>IF($C56="","",VLOOKUP($C56,CTPit!$E$10:$BG$172,AG$49,FALSE))</f>
        <v/>
      </c>
    </row>
    <row r="57" spans="1:33">
      <c r="Z57" s="288"/>
      <c r="AA57" s="288"/>
      <c r="AB57" s="288"/>
    </row>
    <row r="58" spans="1:33" ht="57">
      <c r="A58" s="25" t="s">
        <v>196</v>
      </c>
      <c r="B58" s="283" t="s">
        <v>131</v>
      </c>
      <c r="C58" s="44" t="s">
        <v>121</v>
      </c>
      <c r="D58" s="44" t="s">
        <v>94</v>
      </c>
      <c r="E58" s="44" t="s">
        <v>105</v>
      </c>
      <c r="F58" s="55" t="s">
        <v>193</v>
      </c>
      <c r="G58" s="47" t="s">
        <v>194</v>
      </c>
      <c r="H58" s="56" t="s">
        <v>195</v>
      </c>
      <c r="I58" s="76" t="s">
        <v>217</v>
      </c>
      <c r="J58" s="47" t="s">
        <v>192</v>
      </c>
      <c r="K58" s="79" t="s">
        <v>189</v>
      </c>
      <c r="L58" s="74" t="s">
        <v>190</v>
      </c>
      <c r="M58" s="75" t="s">
        <v>191</v>
      </c>
      <c r="N58" s="74" t="s">
        <v>63</v>
      </c>
      <c r="O58" s="74" t="s">
        <v>65</v>
      </c>
      <c r="P58" s="74" t="s">
        <v>67</v>
      </c>
      <c r="Q58" s="74" t="s">
        <v>69</v>
      </c>
      <c r="R58" s="74" t="s">
        <v>71</v>
      </c>
      <c r="S58" s="74" t="s">
        <v>111</v>
      </c>
      <c r="T58" s="74" t="s">
        <v>74</v>
      </c>
      <c r="U58" s="74" t="s">
        <v>76</v>
      </c>
      <c r="V58" s="74" t="s">
        <v>78</v>
      </c>
      <c r="W58" s="74" t="s">
        <v>80</v>
      </c>
      <c r="X58" s="74" t="s">
        <v>82</v>
      </c>
      <c r="Y58" s="75" t="s">
        <v>84</v>
      </c>
      <c r="Z58" s="79" t="s">
        <v>203</v>
      </c>
      <c r="AA58" s="74" t="s">
        <v>202</v>
      </c>
      <c r="AB58" s="75" t="s">
        <v>204</v>
      </c>
      <c r="AC58" s="319" t="s">
        <v>647</v>
      </c>
      <c r="AD58" s="74" t="s">
        <v>189</v>
      </c>
      <c r="AE58" s="74" t="s">
        <v>190</v>
      </c>
      <c r="AF58" s="75" t="s">
        <v>191</v>
      </c>
      <c r="AG58" s="319" t="s">
        <v>201</v>
      </c>
    </row>
    <row r="59" spans="1:33">
      <c r="A59">
        <v>1</v>
      </c>
      <c r="B59" s="36" t="s">
        <v>112</v>
      </c>
      <c r="C59" s="37" t="s">
        <v>445</v>
      </c>
      <c r="D59" s="37">
        <f>IF($C59="","",VLOOKUP($C59,CTPit!$E$10:$BG$214,D$4,FALSE))</f>
        <v>22</v>
      </c>
      <c r="E59" s="37" t="str">
        <f>IF($C59="","",VLOOKUP($C59,CTPit!$E$10:$BG$214,E$4+1,FALSE))</f>
        <v>R</v>
      </c>
      <c r="F59" s="53">
        <f t="shared" ref="F59:F60" si="78">IF($C59="","",IF(AG59&gt;7,1,0))</f>
        <v>0</v>
      </c>
      <c r="G59" s="288">
        <f t="shared" ref="G59:G60" si="79">IF($C59="","",IF(AG59&gt;6.5,1,0))</f>
        <v>1</v>
      </c>
      <c r="H59" s="289">
        <f t="shared" ref="H59:H60" si="80">IF($C59="","",IF(AG59&gt;6,1,0))</f>
        <v>1</v>
      </c>
      <c r="I59" s="99" t="str">
        <f>IF($C59="","",VLOOKUP($C59,CTPit!$E$10:$BG$172,I$49,FALSE))</f>
        <v>R</v>
      </c>
      <c r="J59" s="288">
        <f>IF($C59="","",COUNT(N59:Y59))</f>
        <v>2</v>
      </c>
      <c r="K59" s="53">
        <f>IF($C59="","",VLOOKUP($C59,CTPit!$E$10:$BG$172,K$49,FALSE))</f>
        <v>9</v>
      </c>
      <c r="L59" s="288">
        <f>IF($C59="","",VLOOKUP($C59,CTPit!$E$10:$BG$172,L$49,FALSE))</f>
        <v>5</v>
      </c>
      <c r="M59" s="289">
        <f>IF($C59="","",VLOOKUP($C59,CTPit!$E$10:$BG$172,M$49,FALSE))</f>
        <v>4</v>
      </c>
      <c r="N59" s="288">
        <f>IF($C59="","",VLOOKUP($C59,CTPit!$E$10:$BG$172,N$49,FALSE))</f>
        <v>9</v>
      </c>
      <c r="O59" s="288" t="str">
        <f>IF($C59="","",VLOOKUP($C59,CTPit!$E$10:$BG$172,O$49,FALSE))</f>
        <v>-</v>
      </c>
      <c r="P59" s="288" t="str">
        <f>IF($C59="","",VLOOKUP($C59,CTPit!$E$10:$BG$172,P$49,FALSE))</f>
        <v>-</v>
      </c>
      <c r="Q59" s="288">
        <f>IF($C59="","",VLOOKUP($C59,CTPit!$E$10:$BG$172,Q$49,FALSE))</f>
        <v>8</v>
      </c>
      <c r="R59" s="288" t="str">
        <f>IF($C59="","",VLOOKUP($C59,CTPit!$E$10:$BG$172,R$49,FALSE))</f>
        <v>-</v>
      </c>
      <c r="S59" s="288" t="str">
        <f>IF($C59="","",VLOOKUP($C59,CTPit!$E$10:$BG$172,S$49,FALSE))</f>
        <v>-</v>
      </c>
      <c r="T59" s="288" t="str">
        <f>IF($C59="","",VLOOKUP($C59,CTPit!$E$10:$BG$172,T$49,FALSE))</f>
        <v>-</v>
      </c>
      <c r="U59" s="288" t="str">
        <f>IF($C59="","",VLOOKUP($C59,CTPit!$E$10:$BG$172,U$49,FALSE))</f>
        <v>-</v>
      </c>
      <c r="V59" s="288" t="str">
        <f>IF($C59="","",VLOOKUP($C59,CTPit!$E$10:$BG$172,V$49,FALSE))</f>
        <v>-</v>
      </c>
      <c r="W59" s="288" t="str">
        <f>IF($C59="","",VLOOKUP($C59,CTPit!$E$10:$BG$172,W$49,FALSE))</f>
        <v>-</v>
      </c>
      <c r="X59" s="288" t="str">
        <f>IF($C59="","",VLOOKUP($C59,CTPit!$E$10:$BG$172,X$49,FALSE))</f>
        <v>-</v>
      </c>
      <c r="Y59" s="289" t="str">
        <f>IF($C59="","",VLOOKUP($C59,CTPit!$E$10:$BG$172,Y$49,FALSE))</f>
        <v>-</v>
      </c>
      <c r="Z59" s="53" t="str">
        <f>IF($C59="","",VLOOKUP($C59,CTPit!$E$10:$BG$172,Z$49,FALSE))</f>
        <v>96-98 Mph</v>
      </c>
      <c r="AA59" s="288">
        <f>IF($C59="","",VLOOKUP($C59,CTPit!$E$10:$BG$172,AA$49,FALSE))</f>
        <v>2</v>
      </c>
      <c r="AB59" s="80">
        <f>IF($C59="","",VLOOKUP($C59,CTPit!$E$10:$BG$172,AB$49,FALSE))</f>
        <v>0.37</v>
      </c>
      <c r="AC59" s="320">
        <f>IF($C59="","",VLOOKUP($C59,CTPit!$E$10:$BG$172,AC$49,FALSE))</f>
        <v>6.25</v>
      </c>
      <c r="AD59" s="288">
        <f>IF($C59="","",VLOOKUP($C59,CTPit!$E$10:$BG$172,AD$49,FALSE))</f>
        <v>9</v>
      </c>
      <c r="AE59" s="288">
        <f>IF($C59="","",VLOOKUP($C59,CTPit!$E$10:$BG$172,AE$49,FALSE))</f>
        <v>5</v>
      </c>
      <c r="AF59" s="289">
        <f>IF($C59="","",VLOOKUP($C59,CTPit!$E$10:$BG$172,AF$49,FALSE))</f>
        <v>5</v>
      </c>
      <c r="AG59" s="320">
        <f>IF($C59="","",VLOOKUP($C59,CTPit!$E$10:$BG$172,AG$49,FALSE))</f>
        <v>6.583333333333333</v>
      </c>
    </row>
    <row r="60" spans="1:33">
      <c r="A60">
        <v>2</v>
      </c>
      <c r="B60" s="39" t="s">
        <v>132</v>
      </c>
      <c r="C60" s="40"/>
      <c r="D60" s="40" t="str">
        <f>IF($C60="","",VLOOKUP($C60,CTPit!$E$10:$BG$214,D$4,FALSE))</f>
        <v/>
      </c>
      <c r="E60" s="40" t="str">
        <f>IF($C60="","",VLOOKUP($C60,CTPit!$E$10:$BG$214,E$4+1,FALSE))</f>
        <v/>
      </c>
      <c r="F60" s="54" t="str">
        <f t="shared" si="78"/>
        <v/>
      </c>
      <c r="G60" s="286" t="str">
        <f t="shared" si="79"/>
        <v/>
      </c>
      <c r="H60" s="287" t="str">
        <f t="shared" si="80"/>
        <v/>
      </c>
      <c r="I60" s="101" t="str">
        <f>IF($C60="","",VLOOKUP($C60,CTPit!$E$10:$BG$172,I$49,FALSE))</f>
        <v/>
      </c>
      <c r="J60" s="286" t="str">
        <f>IF($C60="","",COUNT(N60:Y60))</f>
        <v/>
      </c>
      <c r="K60" s="54" t="str">
        <f>IF($C60="","",VLOOKUP($C60,CTPit!$E$10:$BG$172,K$49,FALSE))</f>
        <v/>
      </c>
      <c r="L60" s="286" t="str">
        <f>IF($C60="","",VLOOKUP($C60,CTPit!$E$10:$BG$172,L$49,FALSE))</f>
        <v/>
      </c>
      <c r="M60" s="287" t="str">
        <f>IF($C60="","",VLOOKUP($C60,CTPit!$E$10:$BG$172,M$49,FALSE))</f>
        <v/>
      </c>
      <c r="N60" s="286" t="str">
        <f>IF($C60="","",VLOOKUP($C60,CTPit!$E$10:$BG$172,N$49,FALSE))</f>
        <v/>
      </c>
      <c r="O60" s="286" t="str">
        <f>IF($C60="","",VLOOKUP($C60,CTPit!$E$10:$BG$172,O$49,FALSE))</f>
        <v/>
      </c>
      <c r="P60" s="286" t="str">
        <f>IF($C60="","",VLOOKUP($C60,CTPit!$E$10:$BG$172,P$49,FALSE))</f>
        <v/>
      </c>
      <c r="Q60" s="286" t="str">
        <f>IF($C60="","",VLOOKUP($C60,CTPit!$E$10:$BG$172,Q$49,FALSE))</f>
        <v/>
      </c>
      <c r="R60" s="286" t="str">
        <f>IF($C60="","",VLOOKUP($C60,CTPit!$E$10:$BG$172,R$49,FALSE))</f>
        <v/>
      </c>
      <c r="S60" s="286" t="str">
        <f>IF($C60="","",VLOOKUP($C60,CTPit!$E$10:$BG$172,S$49,FALSE))</f>
        <v/>
      </c>
      <c r="T60" s="286" t="str">
        <f>IF($C60="","",VLOOKUP($C60,CTPit!$E$10:$BG$172,T$49,FALSE))</f>
        <v/>
      </c>
      <c r="U60" s="286" t="str">
        <f>IF($C60="","",VLOOKUP($C60,CTPit!$E$10:$BG$172,U$49,FALSE))</f>
        <v/>
      </c>
      <c r="V60" s="286" t="str">
        <f>IF($C60="","",VLOOKUP($C60,CTPit!$E$10:$BG$172,V$49,FALSE))</f>
        <v/>
      </c>
      <c r="W60" s="286" t="str">
        <f>IF($C60="","",VLOOKUP($C60,CTPit!$E$10:$BG$172,W$49,FALSE))</f>
        <v/>
      </c>
      <c r="X60" s="286" t="str">
        <f>IF($C60="","",VLOOKUP($C60,CTPit!$E$10:$BG$172,X$49,FALSE))</f>
        <v/>
      </c>
      <c r="Y60" s="287" t="str">
        <f>IF($C60="","",VLOOKUP($C60,CTPit!$E$10:$BG$172,Y$49,FALSE))</f>
        <v/>
      </c>
      <c r="Z60" s="54" t="str">
        <f>IF($C60="","",VLOOKUP($C60,CTPit!$E$10:$BG$172,Z$49,FALSE))</f>
        <v/>
      </c>
      <c r="AA60" s="286" t="str">
        <f>IF($C60="","",VLOOKUP($C60,CTPit!$E$10:$BG$172,AA$49,FALSE))</f>
        <v/>
      </c>
      <c r="AB60" s="81" t="str">
        <f>IF($C60="","",VLOOKUP($C60,CTPit!$E$10:$BG$172,AB$49,FALSE))</f>
        <v/>
      </c>
      <c r="AC60" s="68" t="str">
        <f>IF($C60="","",VLOOKUP($C60,CTPit!$E$10:$BG$172,AC$49,FALSE))</f>
        <v/>
      </c>
      <c r="AD60" s="286" t="str">
        <f>IF($C60="","",VLOOKUP($C60,CTPit!$E$10:$BG$172,AD$49,FALSE))</f>
        <v/>
      </c>
      <c r="AE60" s="286" t="str">
        <f>IF($C60="","",VLOOKUP($C60,CTPit!$E$10:$BG$172,AE$49,FALSE))</f>
        <v/>
      </c>
      <c r="AF60" s="287" t="str">
        <f>IF($C60="","",VLOOKUP($C60,CTPit!$E$10:$BG$172,AF$49,FALSE))</f>
        <v/>
      </c>
      <c r="AG60" s="68" t="str">
        <f>IF($C60="","",VLOOKUP($C60,CTPit!$E$10:$BG$172,AG$49,FALSE))</f>
        <v/>
      </c>
    </row>
    <row r="61" spans="1:33">
      <c r="Z61" s="288"/>
      <c r="AA61" s="288"/>
      <c r="AB61" s="288"/>
    </row>
    <row r="62" spans="1:33" ht="57">
      <c r="A62" s="25" t="s">
        <v>196</v>
      </c>
      <c r="B62" s="283" t="s">
        <v>133</v>
      </c>
      <c r="C62" s="44" t="s">
        <v>121</v>
      </c>
      <c r="D62" s="44" t="s">
        <v>94</v>
      </c>
      <c r="E62" s="44" t="s">
        <v>105</v>
      </c>
      <c r="F62" s="55" t="s">
        <v>193</v>
      </c>
      <c r="G62" s="47" t="s">
        <v>194</v>
      </c>
      <c r="H62" s="56" t="s">
        <v>195</v>
      </c>
      <c r="I62" s="76" t="s">
        <v>217</v>
      </c>
      <c r="J62" s="47" t="s">
        <v>192</v>
      </c>
      <c r="K62" s="79" t="s">
        <v>189</v>
      </c>
      <c r="L62" s="74" t="s">
        <v>190</v>
      </c>
      <c r="M62" s="75" t="s">
        <v>191</v>
      </c>
      <c r="N62" s="74" t="s">
        <v>63</v>
      </c>
      <c r="O62" s="74" t="s">
        <v>65</v>
      </c>
      <c r="P62" s="74" t="s">
        <v>67</v>
      </c>
      <c r="Q62" s="74" t="s">
        <v>69</v>
      </c>
      <c r="R62" s="74" t="s">
        <v>71</v>
      </c>
      <c r="S62" s="74" t="s">
        <v>111</v>
      </c>
      <c r="T62" s="74" t="s">
        <v>74</v>
      </c>
      <c r="U62" s="74" t="s">
        <v>76</v>
      </c>
      <c r="V62" s="74" t="s">
        <v>78</v>
      </c>
      <c r="W62" s="74" t="s">
        <v>80</v>
      </c>
      <c r="X62" s="74" t="s">
        <v>82</v>
      </c>
      <c r="Y62" s="75" t="s">
        <v>84</v>
      </c>
      <c r="Z62" s="79" t="s">
        <v>203</v>
      </c>
      <c r="AA62" s="74" t="s">
        <v>202</v>
      </c>
      <c r="AB62" s="75" t="s">
        <v>204</v>
      </c>
      <c r="AC62" s="319" t="s">
        <v>647</v>
      </c>
      <c r="AD62" s="74" t="s">
        <v>189</v>
      </c>
      <c r="AE62" s="74" t="s">
        <v>190</v>
      </c>
      <c r="AF62" s="75" t="s">
        <v>191</v>
      </c>
      <c r="AG62" s="319" t="s">
        <v>201</v>
      </c>
    </row>
    <row r="63" spans="1:33">
      <c r="A63">
        <v>1</v>
      </c>
      <c r="B63" s="36" t="s">
        <v>134</v>
      </c>
      <c r="C63" s="37" t="s">
        <v>509</v>
      </c>
      <c r="D63" s="37">
        <f>IF($C63="","",VLOOKUP($C63,CTPit!$E$10:$BG$214,D$4,FALSE))</f>
        <v>32</v>
      </c>
      <c r="E63" s="37" t="str">
        <f>IF($C63="","",VLOOKUP($C63,CTPit!$E$10:$BG$214,E$4+1,FALSE))</f>
        <v>L</v>
      </c>
      <c r="F63" s="53">
        <f t="shared" ref="F63:F72" si="81">IF($C63="","",IF(AG63&gt;7,1,0))</f>
        <v>0</v>
      </c>
      <c r="G63" s="288">
        <f t="shared" ref="G63:G72" si="82">IF($C63="","",IF(AG63&gt;6.5,1,0))</f>
        <v>0</v>
      </c>
      <c r="H63" s="289">
        <f t="shared" ref="H63:H72" si="83">IF($C63="","",IF(AG63&gt;6,1,0))</f>
        <v>0</v>
      </c>
      <c r="I63" s="100" t="str">
        <f>IF($C63="","",VLOOKUP($C63,CTPit!$E$10:$BG$172,I$49,FALSE))</f>
        <v>L</v>
      </c>
      <c r="J63" s="288">
        <f t="shared" ref="J63:J72" si="84">IF($C63="","",COUNT(N63:Y63))</f>
        <v>3</v>
      </c>
      <c r="K63" s="53">
        <f>IF($C63="","",VLOOKUP($C63,CTPit!$E$10:$BG$172,K$49,FALSE))</f>
        <v>4</v>
      </c>
      <c r="L63" s="288">
        <f>IF($C63="","",VLOOKUP($C63,CTPit!$E$10:$BG$172,L$49,FALSE))</f>
        <v>6</v>
      </c>
      <c r="M63" s="289">
        <f>IF($C63="","",VLOOKUP($C63,CTPit!$E$10:$BG$172,M$49,FALSE))</f>
        <v>7</v>
      </c>
      <c r="N63" s="288">
        <f>IF($C63="","",VLOOKUP($C63,CTPit!$E$10:$BG$172,N$49,FALSE))</f>
        <v>4</v>
      </c>
      <c r="O63" s="288" t="str">
        <f>IF($C63="","",VLOOKUP($C63,CTPit!$E$10:$BG$172,O$49,FALSE))</f>
        <v>-</v>
      </c>
      <c r="P63" s="288" t="str">
        <f>IF($C63="","",VLOOKUP($C63,CTPit!$E$10:$BG$172,P$49,FALSE))</f>
        <v>-</v>
      </c>
      <c r="Q63" s="288">
        <f>IF($C63="","",VLOOKUP($C63,CTPit!$E$10:$BG$172,Q$49,FALSE))</f>
        <v>4</v>
      </c>
      <c r="R63" s="288" t="str">
        <f>IF($C63="","",VLOOKUP($C63,CTPit!$E$10:$BG$172,R$49,FALSE))</f>
        <v>-</v>
      </c>
      <c r="S63" s="288" t="str">
        <f>IF($C63="","",VLOOKUP($C63,CTPit!$E$10:$BG$172,S$49,FALSE))</f>
        <v>-</v>
      </c>
      <c r="T63" s="288">
        <f>IF($C63="","",VLOOKUP($C63,CTPit!$E$10:$BG$172,T$49,FALSE))</f>
        <v>4</v>
      </c>
      <c r="U63" s="288" t="str">
        <f>IF($C63="","",VLOOKUP($C63,CTPit!$E$10:$BG$172,U$49,FALSE))</f>
        <v>-</v>
      </c>
      <c r="V63" s="288" t="str">
        <f>IF($C63="","",VLOOKUP($C63,CTPit!$E$10:$BG$172,V$49,FALSE))</f>
        <v>-</v>
      </c>
      <c r="W63" s="288" t="str">
        <f>IF($C63="","",VLOOKUP($C63,CTPit!$E$10:$BG$172,W$49,FALSE))</f>
        <v>-</v>
      </c>
      <c r="X63" s="288" t="str">
        <f>IF($C63="","",VLOOKUP($C63,CTPit!$E$10:$BG$172,X$49,FALSE))</f>
        <v>-</v>
      </c>
      <c r="Y63" s="289" t="str">
        <f>IF($C63="","",VLOOKUP($C63,CTPit!$E$10:$BG$172,Y$49,FALSE))</f>
        <v>-</v>
      </c>
      <c r="Z63" s="53" t="str">
        <f>IF($C63="","",VLOOKUP($C63,CTPit!$E$10:$BG$172,Z$49,FALSE))</f>
        <v>87-89 Mph</v>
      </c>
      <c r="AA63" s="288">
        <f>IF($C63="","",VLOOKUP($C63,CTPit!$E$10:$BG$172,AA$49,FALSE))</f>
        <v>3</v>
      </c>
      <c r="AB63" s="80">
        <f>IF($C63="","",VLOOKUP($C63,CTPit!$E$10:$BG$172,AB$49,FALSE))</f>
        <v>0.39</v>
      </c>
      <c r="AC63" s="320">
        <f>IF($C63="","",VLOOKUP($C63,CTPit!$E$10:$BG$172,AC$49,FALSE))</f>
        <v>5.666666666666667</v>
      </c>
      <c r="AD63" s="288">
        <f>IF($C63="","",VLOOKUP($C63,CTPit!$E$10:$BG$172,AD$49,FALSE))</f>
        <v>4</v>
      </c>
      <c r="AE63" s="288">
        <f>IF($C63="","",VLOOKUP($C63,CTPit!$E$10:$BG$172,AE$49,FALSE))</f>
        <v>6</v>
      </c>
      <c r="AF63" s="289">
        <f>IF($C63="","",VLOOKUP($C63,CTPit!$E$10:$BG$172,AF$49,FALSE))</f>
        <v>7</v>
      </c>
      <c r="AG63" s="320">
        <f>IF($C63="","",VLOOKUP($C63,CTPit!$E$10:$BG$172,AG$49,FALSE))</f>
        <v>5.666666666666667</v>
      </c>
    </row>
    <row r="64" spans="1:33">
      <c r="A64">
        <v>2</v>
      </c>
      <c r="B64" s="36" t="s">
        <v>135</v>
      </c>
      <c r="C64" s="65" t="s">
        <v>9</v>
      </c>
      <c r="D64" s="37">
        <f>IF($C64="","",VLOOKUP($C64,CTPit!$E$10:$BG$214,D$4,FALSE))</f>
        <v>24</v>
      </c>
      <c r="E64" s="37" t="str">
        <f>IF($C64="","",VLOOKUP($C64,CTPit!$E$10:$BG$214,E$4+1,FALSE))</f>
        <v>R</v>
      </c>
      <c r="F64" s="53">
        <f t="shared" si="81"/>
        <v>0</v>
      </c>
      <c r="G64" s="288">
        <f t="shared" si="82"/>
        <v>0</v>
      </c>
      <c r="H64" s="289">
        <f t="shared" si="83"/>
        <v>1</v>
      </c>
      <c r="I64" s="100" t="str">
        <f>IF($C64="","",VLOOKUP($C64,CTPit!$E$10:$BG$172,I$49,FALSE))</f>
        <v>R</v>
      </c>
      <c r="J64" s="288">
        <f t="shared" si="84"/>
        <v>2</v>
      </c>
      <c r="K64" s="53">
        <f>IF($C64="","",VLOOKUP($C64,CTPit!$E$10:$BG$172,K$49,FALSE))</f>
        <v>7</v>
      </c>
      <c r="L64" s="288">
        <f>IF($C64="","",VLOOKUP($C64,CTPit!$E$10:$BG$172,L$49,FALSE))</f>
        <v>7</v>
      </c>
      <c r="M64" s="289">
        <f>IF($C64="","",VLOOKUP($C64,CTPit!$E$10:$BG$172,M$49,FALSE))</f>
        <v>4</v>
      </c>
      <c r="N64" s="288">
        <f>IF($C64="","",VLOOKUP($C64,CTPit!$E$10:$BG$172,N$49,FALSE))</f>
        <v>8</v>
      </c>
      <c r="O64" s="288" t="str">
        <f>IF($C64="","",VLOOKUP($C64,CTPit!$E$10:$BG$172,O$49,FALSE))</f>
        <v>-</v>
      </c>
      <c r="P64" s="288" t="str">
        <f>IF($C64="","",VLOOKUP($C64,CTPit!$E$10:$BG$172,P$49,FALSE))</f>
        <v>-</v>
      </c>
      <c r="Q64" s="288">
        <f>IF($C64="","",VLOOKUP($C64,CTPit!$E$10:$BG$172,Q$49,FALSE))</f>
        <v>7</v>
      </c>
      <c r="R64" s="288" t="str">
        <f>IF($C64="","",VLOOKUP($C64,CTPit!$E$10:$BG$172,R$49,FALSE))</f>
        <v>-</v>
      </c>
      <c r="S64" s="288" t="str">
        <f>IF($C64="","",VLOOKUP($C64,CTPit!$E$10:$BG$172,S$49,FALSE))</f>
        <v>-</v>
      </c>
      <c r="T64" s="288" t="str">
        <f>IF($C64="","",VLOOKUP($C64,CTPit!$E$10:$BG$172,T$49,FALSE))</f>
        <v>-</v>
      </c>
      <c r="U64" s="288" t="str">
        <f>IF($C64="","",VLOOKUP($C64,CTPit!$E$10:$BG$172,U$49,FALSE))</f>
        <v>-</v>
      </c>
      <c r="V64" s="288" t="str">
        <f>IF($C64="","",VLOOKUP($C64,CTPit!$E$10:$BG$172,V$49,FALSE))</f>
        <v>-</v>
      </c>
      <c r="W64" s="288" t="str">
        <f>IF($C64="","",VLOOKUP($C64,CTPit!$E$10:$BG$172,W$49,FALSE))</f>
        <v>-</v>
      </c>
      <c r="X64" s="288" t="str">
        <f>IF($C64="","",VLOOKUP($C64,CTPit!$E$10:$BG$172,X$49,FALSE))</f>
        <v>-</v>
      </c>
      <c r="Y64" s="289" t="str">
        <f>IF($C64="","",VLOOKUP($C64,CTPit!$E$10:$BG$172,Y$49,FALSE))</f>
        <v>-</v>
      </c>
      <c r="Z64" s="53" t="str">
        <f>IF($C64="","",VLOOKUP($C64,CTPit!$E$10:$BG$172,Z$49,FALSE))</f>
        <v>96-98 Mph</v>
      </c>
      <c r="AA64" s="288">
        <f>IF($C64="","",VLOOKUP($C64,CTPit!$E$10:$BG$172,AA$49,FALSE))</f>
        <v>1</v>
      </c>
      <c r="AB64" s="80">
        <f>IF($C64="","",VLOOKUP($C64,CTPit!$E$10:$BG$172,AB$49,FALSE))</f>
        <v>0.66</v>
      </c>
      <c r="AC64" s="67">
        <f>IF($C64="","",VLOOKUP($C64,CTPit!$E$10:$BG$172,AC$49,FALSE))</f>
        <v>6.5</v>
      </c>
      <c r="AD64" s="288">
        <f>IF($C64="","",VLOOKUP($C64,CTPit!$E$10:$BG$172,AD$49,FALSE))</f>
        <v>7</v>
      </c>
      <c r="AE64" s="288">
        <f>IF($C64="","",VLOOKUP($C64,CTPit!$E$10:$BG$172,AE$49,FALSE))</f>
        <v>7</v>
      </c>
      <c r="AF64" s="289">
        <f>IF($C64="","",VLOOKUP($C64,CTPit!$E$10:$BG$172,AF$49,FALSE))</f>
        <v>4</v>
      </c>
      <c r="AG64" s="67">
        <f>IF($C64="","",VLOOKUP($C64,CTPit!$E$10:$BG$172,AG$49,FALSE))</f>
        <v>6.5</v>
      </c>
    </row>
    <row r="65" spans="1:33">
      <c r="A65">
        <v>3</v>
      </c>
      <c r="B65" s="36" t="s">
        <v>19</v>
      </c>
      <c r="C65" s="65" t="s">
        <v>553</v>
      </c>
      <c r="D65" s="37">
        <f>IF($C65="","",VLOOKUP($C65,CTPit!$E$10:$BG$214,D$4,FALSE))</f>
        <v>32</v>
      </c>
      <c r="E65" s="37" t="str">
        <f>IF($C65="","",VLOOKUP($C65,CTPit!$E$10:$BG$214,E$4+1,FALSE))</f>
        <v>R</v>
      </c>
      <c r="F65" s="53">
        <f t="shared" si="81"/>
        <v>0</v>
      </c>
      <c r="G65" s="288">
        <f t="shared" si="82"/>
        <v>0</v>
      </c>
      <c r="H65" s="289">
        <f t="shared" si="83"/>
        <v>0</v>
      </c>
      <c r="I65" s="100" t="str">
        <f>IF($C65="","",VLOOKUP($C65,CTPit!$E$10:$BG$172,I$49,FALSE))</f>
        <v>R</v>
      </c>
      <c r="J65" s="288">
        <f t="shared" si="84"/>
        <v>3</v>
      </c>
      <c r="K65" s="53">
        <f>IF($C65="","",VLOOKUP($C65,CTPit!$E$10:$BG$172,K$49,FALSE))</f>
        <v>8</v>
      </c>
      <c r="L65" s="288">
        <f>IF($C65="","",VLOOKUP($C65,CTPit!$E$10:$BG$172,L$49,FALSE))</f>
        <v>5</v>
      </c>
      <c r="M65" s="289">
        <f>IF($C65="","",VLOOKUP($C65,CTPit!$E$10:$BG$172,M$49,FALSE))</f>
        <v>3</v>
      </c>
      <c r="N65" s="288">
        <f>IF($C65="","",VLOOKUP($C65,CTPit!$E$10:$BG$172,N$49,FALSE))</f>
        <v>7</v>
      </c>
      <c r="O65" s="288">
        <f>IF($C65="","",VLOOKUP($C65,CTPit!$E$10:$BG$172,O$49,FALSE))</f>
        <v>9</v>
      </c>
      <c r="P65" s="288" t="str">
        <f>IF($C65="","",VLOOKUP($C65,CTPit!$E$10:$BG$172,P$49,FALSE))</f>
        <v>-</v>
      </c>
      <c r="Q65" s="288">
        <f>IF($C65="","",VLOOKUP($C65,CTPit!$E$10:$BG$172,Q$49,FALSE))</f>
        <v>3</v>
      </c>
      <c r="R65" s="288" t="str">
        <f>IF($C65="","",VLOOKUP($C65,CTPit!$E$10:$BG$172,R$49,FALSE))</f>
        <v>-</v>
      </c>
      <c r="S65" s="288" t="str">
        <f>IF($C65="","",VLOOKUP($C65,CTPit!$E$10:$BG$172,S$49,FALSE))</f>
        <v>-</v>
      </c>
      <c r="T65" s="288" t="str">
        <f>IF($C65="","",VLOOKUP($C65,CTPit!$E$10:$BG$172,T$49,FALSE))</f>
        <v>-</v>
      </c>
      <c r="U65" s="288" t="str">
        <f>IF($C65="","",VLOOKUP($C65,CTPit!$E$10:$BG$172,U$49,FALSE))</f>
        <v>-</v>
      </c>
      <c r="V65" s="288" t="str">
        <f>IF($C65="","",VLOOKUP($C65,CTPit!$E$10:$BG$172,V$49,FALSE))</f>
        <v>-</v>
      </c>
      <c r="W65" s="288" t="str">
        <f>IF($C65="","",VLOOKUP($C65,CTPit!$E$10:$BG$172,W$49,FALSE))</f>
        <v>-</v>
      </c>
      <c r="X65" s="288" t="str">
        <f>IF($C65="","",VLOOKUP($C65,CTPit!$E$10:$BG$172,X$49,FALSE))</f>
        <v>-</v>
      </c>
      <c r="Y65" s="289" t="str">
        <f>IF($C65="","",VLOOKUP($C65,CTPit!$E$10:$BG$172,Y$49,FALSE))</f>
        <v>-</v>
      </c>
      <c r="Z65" s="53" t="str">
        <f>IF($C65="","",VLOOKUP($C65,CTPit!$E$10:$BG$172,Z$49,FALSE))</f>
        <v>95-97 Mph</v>
      </c>
      <c r="AA65" s="288">
        <f>IF($C65="","",VLOOKUP($C65,CTPit!$E$10:$BG$172,AA$49,FALSE))</f>
        <v>2</v>
      </c>
      <c r="AB65" s="80">
        <f>IF($C65="","",VLOOKUP($C65,CTPit!$E$10:$BG$172,AB$49,FALSE))</f>
        <v>0.56000000000000005</v>
      </c>
      <c r="AC65" s="67">
        <f>IF($C65="","",VLOOKUP($C65,CTPit!$E$10:$BG$172,AC$49,FALSE))</f>
        <v>5.833333333333333</v>
      </c>
      <c r="AD65" s="288">
        <f>IF($C65="","",VLOOKUP($C65,CTPit!$E$10:$BG$172,AD$49,FALSE))</f>
        <v>8</v>
      </c>
      <c r="AE65" s="288">
        <f>IF($C65="","",VLOOKUP($C65,CTPit!$E$10:$BG$172,AE$49,FALSE))</f>
        <v>5</v>
      </c>
      <c r="AF65" s="289">
        <f>IF($C65="","",VLOOKUP($C65,CTPit!$E$10:$BG$172,AF$49,FALSE))</f>
        <v>3</v>
      </c>
      <c r="AG65" s="67">
        <f>IF($C65="","",VLOOKUP($C65,CTPit!$E$10:$BG$172,AG$49,FALSE))</f>
        <v>5.833333333333333</v>
      </c>
    </row>
    <row r="66" spans="1:33">
      <c r="A66">
        <v>4</v>
      </c>
      <c r="B66" s="36" t="s">
        <v>19</v>
      </c>
      <c r="C66" s="65" t="s">
        <v>12</v>
      </c>
      <c r="D66" s="37">
        <f>IF($C66="","",VLOOKUP($C66,CTPit!$E$10:$BG$214,D$4,FALSE))</f>
        <v>27</v>
      </c>
      <c r="E66" s="37" t="str">
        <f>IF($C66="","",VLOOKUP($C66,CTPit!$E$10:$BG$214,E$4+1,FALSE))</f>
        <v>R</v>
      </c>
      <c r="F66" s="53">
        <f t="shared" si="81"/>
        <v>0</v>
      </c>
      <c r="G66" s="288">
        <f t="shared" si="82"/>
        <v>0</v>
      </c>
      <c r="H66" s="289">
        <f t="shared" si="83"/>
        <v>1</v>
      </c>
      <c r="I66" s="100" t="str">
        <f>IF($C66="","",VLOOKUP($C66,CTPit!$E$10:$BG$172,I$49,FALSE))</f>
        <v>R</v>
      </c>
      <c r="J66" s="288">
        <f t="shared" si="84"/>
        <v>4</v>
      </c>
      <c r="K66" s="53">
        <f>IF($C66="","",VLOOKUP($C66,CTPit!$E$10:$BG$172,K$49,FALSE))</f>
        <v>5</v>
      </c>
      <c r="L66" s="288">
        <f>IF($C66="","",VLOOKUP($C66,CTPit!$E$10:$BG$172,L$49,FALSE))</f>
        <v>7</v>
      </c>
      <c r="M66" s="289">
        <f>IF($C66="","",VLOOKUP($C66,CTPit!$E$10:$BG$172,M$49,FALSE))</f>
        <v>3</v>
      </c>
      <c r="N66" s="288">
        <f>IF($C66="","",VLOOKUP($C66,CTPit!$E$10:$BG$172,N$49,FALSE))</f>
        <v>5</v>
      </c>
      <c r="O66" s="288">
        <f>IF($C66="","",VLOOKUP($C66,CTPit!$E$10:$BG$172,O$49,FALSE))</f>
        <v>4</v>
      </c>
      <c r="P66" s="288" t="str">
        <f>IF($C66="","",VLOOKUP($C66,CTPit!$E$10:$BG$172,P$49,FALSE))</f>
        <v>-</v>
      </c>
      <c r="Q66" s="288">
        <f>IF($C66="","",VLOOKUP($C66,CTPit!$E$10:$BG$172,Q$49,FALSE))</f>
        <v>3</v>
      </c>
      <c r="R66" s="288">
        <f>IF($C66="","",VLOOKUP($C66,CTPit!$E$10:$BG$172,R$49,FALSE))</f>
        <v>5</v>
      </c>
      <c r="S66" s="288" t="str">
        <f>IF($C66="","",VLOOKUP($C66,CTPit!$E$10:$BG$172,S$49,FALSE))</f>
        <v>-</v>
      </c>
      <c r="T66" s="288" t="str">
        <f>IF($C66="","",VLOOKUP($C66,CTPit!$E$10:$BG$172,T$49,FALSE))</f>
        <v>-</v>
      </c>
      <c r="U66" s="288" t="str">
        <f>IF($C66="","",VLOOKUP($C66,CTPit!$E$10:$BG$172,U$49,FALSE))</f>
        <v>-</v>
      </c>
      <c r="V66" s="288" t="str">
        <f>IF($C66="","",VLOOKUP($C66,CTPit!$E$10:$BG$172,V$49,FALSE))</f>
        <v>-</v>
      </c>
      <c r="W66" s="288" t="str">
        <f>IF($C66="","",VLOOKUP($C66,CTPit!$E$10:$BG$172,W$49,FALSE))</f>
        <v>-</v>
      </c>
      <c r="X66" s="288" t="str">
        <f>IF($C66="","",VLOOKUP($C66,CTPit!$E$10:$BG$172,X$49,FALSE))</f>
        <v>-</v>
      </c>
      <c r="Y66" s="289" t="str">
        <f>IF($C66="","",VLOOKUP($C66,CTPit!$E$10:$BG$172,Y$49,FALSE))</f>
        <v>-</v>
      </c>
      <c r="Z66" s="53" t="str">
        <f>IF($C66="","",VLOOKUP($C66,CTPit!$E$10:$BG$172,Z$49,FALSE))</f>
        <v>90-92 Mph</v>
      </c>
      <c r="AA66" s="288">
        <f>IF($C66="","",VLOOKUP($C66,CTPit!$E$10:$BG$172,AA$49,FALSE))</f>
        <v>2</v>
      </c>
      <c r="AB66" s="80">
        <f>IF($C66="","",VLOOKUP($C66,CTPit!$E$10:$BG$172,AB$49,FALSE))</f>
        <v>0.62</v>
      </c>
      <c r="AC66" s="67">
        <f>IF($C66="","",VLOOKUP($C66,CTPit!$E$10:$BG$172,AC$49,FALSE))</f>
        <v>5.5</v>
      </c>
      <c r="AD66" s="288">
        <f>IF($C66="","",VLOOKUP($C66,CTPit!$E$10:$BG$172,AD$49,FALSE))</f>
        <v>5</v>
      </c>
      <c r="AE66" s="288">
        <f>IF($C66="","",VLOOKUP($C66,CTPit!$E$10:$BG$172,AE$49,FALSE))</f>
        <v>7</v>
      </c>
      <c r="AF66" s="289">
        <f>IF($C66="","",VLOOKUP($C66,CTPit!$E$10:$BG$172,AF$49,FALSE))</f>
        <v>4</v>
      </c>
      <c r="AG66" s="67">
        <f>IF($C66="","",VLOOKUP($C66,CTPit!$E$10:$BG$172,AG$49,FALSE))</f>
        <v>6.083333333333333</v>
      </c>
    </row>
    <row r="67" spans="1:33">
      <c r="A67">
        <v>5</v>
      </c>
      <c r="B67" s="36" t="s">
        <v>19</v>
      </c>
      <c r="C67" s="65" t="s">
        <v>556</v>
      </c>
      <c r="D67" s="37">
        <f>IF($C67="","",VLOOKUP($C67,CTPit!$E$10:$BG$214,D$4,FALSE))</f>
        <v>31</v>
      </c>
      <c r="E67" s="37" t="str">
        <f>IF($C67="","",VLOOKUP($C67,CTPit!$E$10:$BG$214,E$4+1,FALSE))</f>
        <v>L</v>
      </c>
      <c r="F67" s="53">
        <f t="shared" si="81"/>
        <v>0</v>
      </c>
      <c r="G67" s="288">
        <f t="shared" si="82"/>
        <v>0</v>
      </c>
      <c r="H67" s="289">
        <f t="shared" si="83"/>
        <v>0</v>
      </c>
      <c r="I67" s="100" t="str">
        <f>IF($C67="","",VLOOKUP($C67,CTPit!$E$10:$BG$172,I$49,FALSE))</f>
        <v>L</v>
      </c>
      <c r="J67" s="288">
        <f t="shared" si="84"/>
        <v>5</v>
      </c>
      <c r="K67" s="53">
        <f>IF($C67="","",VLOOKUP($C67,CTPit!$E$10:$BG$172,K$49,FALSE))</f>
        <v>3</v>
      </c>
      <c r="L67" s="288">
        <f>IF($C67="","",VLOOKUP($C67,CTPit!$E$10:$BG$172,L$49,FALSE))</f>
        <v>5</v>
      </c>
      <c r="M67" s="289">
        <f>IF($C67="","",VLOOKUP($C67,CTPit!$E$10:$BG$172,M$49,FALSE))</f>
        <v>7</v>
      </c>
      <c r="N67" s="288">
        <f>IF($C67="","",VLOOKUP($C67,CTPit!$E$10:$BG$172,N$49,FALSE))</f>
        <v>4</v>
      </c>
      <c r="O67" s="288">
        <f>IF($C67="","",VLOOKUP($C67,CTPit!$E$10:$BG$172,O$49,FALSE))</f>
        <v>3</v>
      </c>
      <c r="P67" s="288">
        <f>IF($C67="","",VLOOKUP($C67,CTPit!$E$10:$BG$172,P$49,FALSE))</f>
        <v>3</v>
      </c>
      <c r="Q67" s="288">
        <f>IF($C67="","",VLOOKUP($C67,CTPit!$E$10:$BG$172,Q$49,FALSE))</f>
        <v>3</v>
      </c>
      <c r="R67" s="288" t="str">
        <f>IF($C67="","",VLOOKUP($C67,CTPit!$E$10:$BG$172,R$49,FALSE))</f>
        <v>-</v>
      </c>
      <c r="S67" s="288" t="str">
        <f>IF($C67="","",VLOOKUP($C67,CTPit!$E$10:$BG$172,S$49,FALSE))</f>
        <v>-</v>
      </c>
      <c r="T67" s="288" t="str">
        <f>IF($C67="","",VLOOKUP($C67,CTPit!$E$10:$BG$172,T$49,FALSE))</f>
        <v>-</v>
      </c>
      <c r="U67" s="288" t="str">
        <f>IF($C67="","",VLOOKUP($C67,CTPit!$E$10:$BG$172,U$49,FALSE))</f>
        <v>-</v>
      </c>
      <c r="V67" s="288">
        <f>IF($C67="","",VLOOKUP($C67,CTPit!$E$10:$BG$172,V$49,FALSE))</f>
        <v>2</v>
      </c>
      <c r="W67" s="288" t="str">
        <f>IF($C67="","",VLOOKUP($C67,CTPit!$E$10:$BG$172,W$49,FALSE))</f>
        <v>-</v>
      </c>
      <c r="X67" s="288" t="str">
        <f>IF($C67="","",VLOOKUP($C67,CTPit!$E$10:$BG$172,X$49,FALSE))</f>
        <v>-</v>
      </c>
      <c r="Y67" s="289" t="str">
        <f>IF($C67="","",VLOOKUP($C67,CTPit!$E$10:$BG$172,Y$49,FALSE))</f>
        <v>-</v>
      </c>
      <c r="Z67" s="53" t="str">
        <f>IF($C67="","",VLOOKUP($C67,CTPit!$E$10:$BG$172,Z$49,FALSE))</f>
        <v>89-90 Mph</v>
      </c>
      <c r="AA67" s="288">
        <f>IF($C67="","",VLOOKUP($C67,CTPit!$E$10:$BG$172,AA$49,FALSE))</f>
        <v>9</v>
      </c>
      <c r="AB67" s="80">
        <f>IF($C67="","",VLOOKUP($C67,CTPit!$E$10:$BG$172,AB$49,FALSE))</f>
        <v>0.44</v>
      </c>
      <c r="AC67" s="67">
        <f>IF($C67="","",VLOOKUP($C67,CTPit!$E$10:$BG$172,AC$49,FALSE))</f>
        <v>5.5</v>
      </c>
      <c r="AD67" s="288">
        <f>IF($C67="","",VLOOKUP($C67,CTPit!$E$10:$BG$172,AD$49,FALSE))</f>
        <v>3</v>
      </c>
      <c r="AE67" s="288">
        <f>IF($C67="","",VLOOKUP($C67,CTPit!$E$10:$BG$172,AE$49,FALSE))</f>
        <v>5</v>
      </c>
      <c r="AF67" s="289">
        <f>IF($C67="","",VLOOKUP($C67,CTPit!$E$10:$BG$172,AF$49,FALSE))</f>
        <v>7</v>
      </c>
      <c r="AG67" s="67">
        <f>IF($C67="","",VLOOKUP($C67,CTPit!$E$10:$BG$172,AG$49,FALSE))</f>
        <v>5.5</v>
      </c>
    </row>
    <row r="68" spans="1:33">
      <c r="A68">
        <v>6</v>
      </c>
      <c r="B68" s="36" t="s">
        <v>19</v>
      </c>
      <c r="C68" s="65" t="s">
        <v>10</v>
      </c>
      <c r="D68" s="37">
        <f>IF($C68="","",VLOOKUP($C68,CTPit!$E$10:$BG$214,D$4,FALSE))</f>
        <v>24</v>
      </c>
      <c r="E68" s="37" t="str">
        <f>IF($C68="","",VLOOKUP($C68,CTPit!$E$10:$BG$214,E$4+1,FALSE))</f>
        <v>L</v>
      </c>
      <c r="F68" s="53">
        <f t="shared" si="81"/>
        <v>0</v>
      </c>
      <c r="G68" s="288">
        <f t="shared" si="82"/>
        <v>0</v>
      </c>
      <c r="H68" s="289">
        <f t="shared" si="83"/>
        <v>0</v>
      </c>
      <c r="I68" s="100" t="str">
        <f>IF($C68="","",VLOOKUP($C68,CTPit!$E$10:$BG$172,I$49,FALSE))</f>
        <v>L</v>
      </c>
      <c r="J68" s="288">
        <f t="shared" si="84"/>
        <v>2</v>
      </c>
      <c r="K68" s="53">
        <f>IF($C68="","",VLOOKUP($C68,CTPit!$E$10:$BG$172,K$49,FALSE))</f>
        <v>5</v>
      </c>
      <c r="L68" s="288">
        <f>IF($C68="","",VLOOKUP($C68,CTPit!$E$10:$BG$172,L$49,FALSE))</f>
        <v>6</v>
      </c>
      <c r="M68" s="289">
        <f>IF($C68="","",VLOOKUP($C68,CTPit!$E$10:$BG$172,M$49,FALSE))</f>
        <v>4</v>
      </c>
      <c r="N68" s="288">
        <f>IF($C68="","",VLOOKUP($C68,CTPit!$E$10:$BG$172,N$49,FALSE))</f>
        <v>6</v>
      </c>
      <c r="O68" s="288">
        <f>IF($C68="","",VLOOKUP($C68,CTPit!$E$10:$BG$172,O$49,FALSE))</f>
        <v>5</v>
      </c>
      <c r="P68" s="288" t="str">
        <f>IF($C68="","",VLOOKUP($C68,CTPit!$E$10:$BG$172,P$49,FALSE))</f>
        <v>-</v>
      </c>
      <c r="Q68" s="288" t="str">
        <f>IF($C68="","",VLOOKUP($C68,CTPit!$E$10:$BG$172,Q$49,FALSE))</f>
        <v>-</v>
      </c>
      <c r="R68" s="288" t="str">
        <f>IF($C68="","",VLOOKUP($C68,CTPit!$E$10:$BG$172,R$49,FALSE))</f>
        <v>-</v>
      </c>
      <c r="S68" s="288" t="str">
        <f>IF($C68="","",VLOOKUP($C68,CTPit!$E$10:$BG$172,S$49,FALSE))</f>
        <v>-</v>
      </c>
      <c r="T68" s="288" t="str">
        <f>IF($C68="","",VLOOKUP($C68,CTPit!$E$10:$BG$172,T$49,FALSE))</f>
        <v>-</v>
      </c>
      <c r="U68" s="288" t="str">
        <f>IF($C68="","",VLOOKUP($C68,CTPit!$E$10:$BG$172,U$49,FALSE))</f>
        <v>-</v>
      </c>
      <c r="V68" s="288" t="str">
        <f>IF($C68="","",VLOOKUP($C68,CTPit!$E$10:$BG$172,V$49,FALSE))</f>
        <v>-</v>
      </c>
      <c r="W68" s="288" t="str">
        <f>IF($C68="","",VLOOKUP($C68,CTPit!$E$10:$BG$172,W$49,FALSE))</f>
        <v>-</v>
      </c>
      <c r="X68" s="288" t="str">
        <f>IF($C68="","",VLOOKUP($C68,CTPit!$E$10:$BG$172,X$49,FALSE))</f>
        <v>-</v>
      </c>
      <c r="Y68" s="289" t="str">
        <f>IF($C68="","",VLOOKUP($C68,CTPit!$E$10:$BG$172,Y$49,FALSE))</f>
        <v>-</v>
      </c>
      <c r="Z68" s="53" t="str">
        <f>IF($C68="","",VLOOKUP($C68,CTPit!$E$10:$BG$172,Z$49,FALSE))</f>
        <v>93-95 Mph</v>
      </c>
      <c r="AA68" s="288">
        <f>IF($C68="","",VLOOKUP($C68,CTPit!$E$10:$BG$172,AA$49,FALSE))</f>
        <v>3</v>
      </c>
      <c r="AB68" s="80">
        <f>IF($C68="","",VLOOKUP($C68,CTPit!$E$10:$BG$172,AB$49,FALSE))</f>
        <v>0.53</v>
      </c>
      <c r="AC68" s="67">
        <f>IF($C68="","",VLOOKUP($C68,CTPit!$E$10:$BG$172,AC$49,FALSE))</f>
        <v>5.25</v>
      </c>
      <c r="AD68" s="288">
        <f>IF($C68="","",VLOOKUP($C68,CTPit!$E$10:$BG$172,AD$49,FALSE))</f>
        <v>5</v>
      </c>
      <c r="AE68" s="288">
        <f>IF($C68="","",VLOOKUP($C68,CTPit!$E$10:$BG$172,AE$49,FALSE))</f>
        <v>6</v>
      </c>
      <c r="AF68" s="289">
        <f>IF($C68="","",VLOOKUP($C68,CTPit!$E$10:$BG$172,AF$49,FALSE))</f>
        <v>6</v>
      </c>
      <c r="AG68" s="67">
        <f>IF($C68="","",VLOOKUP($C68,CTPit!$E$10:$BG$172,AG$49,FALSE))</f>
        <v>5.916666666666667</v>
      </c>
    </row>
    <row r="69" spans="1:33">
      <c r="A69">
        <v>7</v>
      </c>
      <c r="B69" s="36" t="s">
        <v>19</v>
      </c>
      <c r="C69" s="65"/>
      <c r="D69" s="37" t="str">
        <f>IF($C69="","",VLOOKUP($C69,CTPit!$E$10:$BG$214,D$4,FALSE))</f>
        <v/>
      </c>
      <c r="E69" s="37" t="str">
        <f>IF($C69="","",VLOOKUP($C69,CTPit!$E$10:$BG$214,E$4+1,FALSE))</f>
        <v/>
      </c>
      <c r="F69" s="53" t="str">
        <f t="shared" si="81"/>
        <v/>
      </c>
      <c r="G69" s="288" t="str">
        <f t="shared" si="82"/>
        <v/>
      </c>
      <c r="H69" s="289" t="str">
        <f t="shared" si="83"/>
        <v/>
      </c>
      <c r="I69" s="100" t="str">
        <f>IF($C69="","",VLOOKUP($C69,CTPit!$E$10:$BG$172,I$49,FALSE))</f>
        <v/>
      </c>
      <c r="J69" s="288" t="str">
        <f t="shared" si="84"/>
        <v/>
      </c>
      <c r="K69" s="53" t="str">
        <f>IF($C69="","",VLOOKUP($C69,CTPit!$E$10:$BG$172,K$49,FALSE))</f>
        <v/>
      </c>
      <c r="L69" s="288" t="str">
        <f>IF($C69="","",VLOOKUP($C69,CTPit!$E$10:$BG$172,L$49,FALSE))</f>
        <v/>
      </c>
      <c r="M69" s="289" t="str">
        <f>IF($C69="","",VLOOKUP($C69,CTPit!$E$10:$BG$172,M$49,FALSE))</f>
        <v/>
      </c>
      <c r="N69" s="288" t="str">
        <f>IF($C69="","",VLOOKUP($C69,CTPit!$E$10:$BG$172,N$49,FALSE))</f>
        <v/>
      </c>
      <c r="O69" s="288" t="str">
        <f>IF($C69="","",VLOOKUP($C69,CTPit!$E$10:$BG$172,O$49,FALSE))</f>
        <v/>
      </c>
      <c r="P69" s="288" t="str">
        <f>IF($C69="","",VLOOKUP($C69,CTPit!$E$10:$BG$172,P$49,FALSE))</f>
        <v/>
      </c>
      <c r="Q69" s="288" t="str">
        <f>IF($C69="","",VLOOKUP($C69,CTPit!$E$10:$BG$172,Q$49,FALSE))</f>
        <v/>
      </c>
      <c r="R69" s="288" t="str">
        <f>IF($C69="","",VLOOKUP($C69,CTPit!$E$10:$BG$172,R$49,FALSE))</f>
        <v/>
      </c>
      <c r="S69" s="288" t="str">
        <f>IF($C69="","",VLOOKUP($C69,CTPit!$E$10:$BG$172,S$49,FALSE))</f>
        <v/>
      </c>
      <c r="T69" s="288" t="str">
        <f>IF($C69="","",VLOOKUP($C69,CTPit!$E$10:$BG$172,T$49,FALSE))</f>
        <v/>
      </c>
      <c r="U69" s="288" t="str">
        <f>IF($C69="","",VLOOKUP($C69,CTPit!$E$10:$BG$172,U$49,FALSE))</f>
        <v/>
      </c>
      <c r="V69" s="288" t="str">
        <f>IF($C69="","",VLOOKUP($C69,CTPit!$E$10:$BG$172,V$49,FALSE))</f>
        <v/>
      </c>
      <c r="W69" s="288" t="str">
        <f>IF($C69="","",VLOOKUP($C69,CTPit!$E$10:$BG$172,W$49,FALSE))</f>
        <v/>
      </c>
      <c r="X69" s="288" t="str">
        <f>IF($C69="","",VLOOKUP($C69,CTPit!$E$10:$BG$172,X$49,FALSE))</f>
        <v/>
      </c>
      <c r="Y69" s="289" t="str">
        <f>IF($C69="","",VLOOKUP($C69,CTPit!$E$10:$BG$172,Y$49,FALSE))</f>
        <v/>
      </c>
      <c r="Z69" s="53" t="str">
        <f>IF($C69="","",VLOOKUP($C69,CTPit!$E$10:$BG$172,Z$49,FALSE))</f>
        <v/>
      </c>
      <c r="AA69" s="288" t="str">
        <f>IF($C69="","",VLOOKUP($C69,CTPit!$E$10:$BG$172,AA$49,FALSE))</f>
        <v/>
      </c>
      <c r="AB69" s="80" t="str">
        <f>IF($C69="","",VLOOKUP($C69,CTPit!$E$10:$BG$172,AB$49,FALSE))</f>
        <v/>
      </c>
      <c r="AC69" s="67" t="str">
        <f>IF($C69="","",VLOOKUP($C69,CTPit!$E$10:$BG$172,AC$49,FALSE))</f>
        <v/>
      </c>
      <c r="AD69" s="288" t="str">
        <f>IF($C69="","",VLOOKUP($C69,CTPit!$E$10:$BG$172,AD$49,FALSE))</f>
        <v/>
      </c>
      <c r="AE69" s="288" t="str">
        <f>IF($C69="","",VLOOKUP($C69,CTPit!$E$10:$BG$172,AE$49,FALSE))</f>
        <v/>
      </c>
      <c r="AF69" s="289" t="str">
        <f>IF($C69="","",VLOOKUP($C69,CTPit!$E$10:$BG$172,AF$49,FALSE))</f>
        <v/>
      </c>
      <c r="AG69" s="67" t="str">
        <f>IF($C69="","",VLOOKUP($C69,CTPit!$E$10:$BG$172,AG$49,FALSE))</f>
        <v/>
      </c>
    </row>
    <row r="70" spans="1:33">
      <c r="A70">
        <v>8</v>
      </c>
      <c r="B70" s="36" t="s">
        <v>19</v>
      </c>
      <c r="C70" s="65"/>
      <c r="D70" s="37" t="str">
        <f>IF($C70="","",VLOOKUP($C70,CTPit!$E$10:$BG$214,D$4,FALSE))</f>
        <v/>
      </c>
      <c r="E70" s="37" t="str">
        <f>IF($C70="","",VLOOKUP($C70,CTPit!$E$10:$BG$214,E$4+1,FALSE))</f>
        <v/>
      </c>
      <c r="F70" s="53" t="str">
        <f t="shared" si="81"/>
        <v/>
      </c>
      <c r="G70" s="288" t="str">
        <f t="shared" si="82"/>
        <v/>
      </c>
      <c r="H70" s="289" t="str">
        <f t="shared" si="83"/>
        <v/>
      </c>
      <c r="I70" s="100" t="str">
        <f>IF($C70="","",VLOOKUP($C70,CTPit!$E$10:$BG$172,I$49,FALSE))</f>
        <v/>
      </c>
      <c r="J70" s="288" t="str">
        <f t="shared" si="84"/>
        <v/>
      </c>
      <c r="K70" s="53" t="str">
        <f>IF($C70="","",VLOOKUP($C70,CTPit!$E$10:$BG$172,K$49,FALSE))</f>
        <v/>
      </c>
      <c r="L70" s="288" t="str">
        <f>IF($C70="","",VLOOKUP($C70,CTPit!$E$10:$BG$172,L$49,FALSE))</f>
        <v/>
      </c>
      <c r="M70" s="289" t="str">
        <f>IF($C70="","",VLOOKUP($C70,CTPit!$E$10:$BG$172,M$49,FALSE))</f>
        <v/>
      </c>
      <c r="N70" s="288" t="str">
        <f>IF($C70="","",VLOOKUP($C70,CTPit!$E$10:$BG$172,N$49,FALSE))</f>
        <v/>
      </c>
      <c r="O70" s="288" t="str">
        <f>IF($C70="","",VLOOKUP($C70,CTPit!$E$10:$BG$172,O$49,FALSE))</f>
        <v/>
      </c>
      <c r="P70" s="288" t="str">
        <f>IF($C70="","",VLOOKUP($C70,CTPit!$E$10:$BG$172,P$49,FALSE))</f>
        <v/>
      </c>
      <c r="Q70" s="288" t="str">
        <f>IF($C70="","",VLOOKUP($C70,CTPit!$E$10:$BG$172,Q$49,FALSE))</f>
        <v/>
      </c>
      <c r="R70" s="288" t="str">
        <f>IF($C70="","",VLOOKUP($C70,CTPit!$E$10:$BG$172,R$49,FALSE))</f>
        <v/>
      </c>
      <c r="S70" s="288" t="str">
        <f>IF($C70="","",VLOOKUP($C70,CTPit!$E$10:$BG$172,S$49,FALSE))</f>
        <v/>
      </c>
      <c r="T70" s="288" t="str">
        <f>IF($C70="","",VLOOKUP($C70,CTPit!$E$10:$BG$172,T$49,FALSE))</f>
        <v/>
      </c>
      <c r="U70" s="288" t="str">
        <f>IF($C70="","",VLOOKUP($C70,CTPit!$E$10:$BG$172,U$49,FALSE))</f>
        <v/>
      </c>
      <c r="V70" s="288" t="str">
        <f>IF($C70="","",VLOOKUP($C70,CTPit!$E$10:$BG$172,V$49,FALSE))</f>
        <v/>
      </c>
      <c r="W70" s="288" t="str">
        <f>IF($C70="","",VLOOKUP($C70,CTPit!$E$10:$BG$172,W$49,FALSE))</f>
        <v/>
      </c>
      <c r="X70" s="288" t="str">
        <f>IF($C70="","",VLOOKUP($C70,CTPit!$E$10:$BG$172,X$49,FALSE))</f>
        <v/>
      </c>
      <c r="Y70" s="289" t="str">
        <f>IF($C70="","",VLOOKUP($C70,CTPit!$E$10:$BG$172,Y$49,FALSE))</f>
        <v/>
      </c>
      <c r="Z70" s="53" t="str">
        <f>IF($C70="","",VLOOKUP($C70,CTPit!$E$10:$BG$172,Z$49,FALSE))</f>
        <v/>
      </c>
      <c r="AA70" s="288" t="str">
        <f>IF($C70="","",VLOOKUP($C70,CTPit!$E$10:$BG$172,AA$49,FALSE))</f>
        <v/>
      </c>
      <c r="AB70" s="80" t="str">
        <f>IF($C70="","",VLOOKUP($C70,CTPit!$E$10:$BG$172,AB$49,FALSE))</f>
        <v/>
      </c>
      <c r="AC70" s="67" t="str">
        <f>IF($C70="","",VLOOKUP($C70,CTPit!$E$10:$BG$172,AC$49,FALSE))</f>
        <v/>
      </c>
      <c r="AD70" s="288" t="str">
        <f>IF($C70="","",VLOOKUP($C70,CTPit!$E$10:$BG$172,AD$49,FALSE))</f>
        <v/>
      </c>
      <c r="AE70" s="288" t="str">
        <f>IF($C70="","",VLOOKUP($C70,CTPit!$E$10:$BG$172,AE$49,FALSE))</f>
        <v/>
      </c>
      <c r="AF70" s="289" t="str">
        <f>IF($C70="","",VLOOKUP($C70,CTPit!$E$10:$BG$172,AF$49,FALSE))</f>
        <v/>
      </c>
      <c r="AG70" s="67" t="str">
        <f>IF($C70="","",VLOOKUP($C70,CTPit!$E$10:$BG$172,AG$49,FALSE))</f>
        <v/>
      </c>
    </row>
    <row r="71" spans="1:33">
      <c r="A71">
        <v>9</v>
      </c>
      <c r="B71" s="36" t="s">
        <v>19</v>
      </c>
      <c r="C71" s="65"/>
      <c r="D71" s="37" t="str">
        <f>IF($C71="","",VLOOKUP($C71,CTPit!$E$10:$BG$214,D$4,FALSE))</f>
        <v/>
      </c>
      <c r="E71" s="37" t="str">
        <f>IF($C71="","",VLOOKUP($C71,CTPit!$E$10:$BG$214,E$4+1,FALSE))</f>
        <v/>
      </c>
      <c r="F71" s="53" t="str">
        <f t="shared" si="81"/>
        <v/>
      </c>
      <c r="G71" s="288" t="str">
        <f t="shared" si="82"/>
        <v/>
      </c>
      <c r="H71" s="289" t="str">
        <f t="shared" si="83"/>
        <v/>
      </c>
      <c r="I71" s="100" t="str">
        <f>IF($C71="","",VLOOKUP($C71,CTPit!$E$10:$BG$172,I$49,FALSE))</f>
        <v/>
      </c>
      <c r="J71" s="288" t="str">
        <f t="shared" si="84"/>
        <v/>
      </c>
      <c r="K71" s="53" t="str">
        <f>IF($C71="","",VLOOKUP($C71,CTPit!$E$10:$BG$172,K$49,FALSE))</f>
        <v/>
      </c>
      <c r="L71" s="288" t="str">
        <f>IF($C71="","",VLOOKUP($C71,CTPit!$E$10:$BG$172,L$49,FALSE))</f>
        <v/>
      </c>
      <c r="M71" s="289" t="str">
        <f>IF($C71="","",VLOOKUP($C71,CTPit!$E$10:$BG$172,M$49,FALSE))</f>
        <v/>
      </c>
      <c r="N71" s="288" t="str">
        <f>IF($C71="","",VLOOKUP($C71,CTPit!$E$10:$BG$172,N$49,FALSE))</f>
        <v/>
      </c>
      <c r="O71" s="288" t="str">
        <f>IF($C71="","",VLOOKUP($C71,CTPit!$E$10:$BG$172,O$49,FALSE))</f>
        <v/>
      </c>
      <c r="P71" s="288" t="str">
        <f>IF($C71="","",VLOOKUP($C71,CTPit!$E$10:$BG$172,P$49,FALSE))</f>
        <v/>
      </c>
      <c r="Q71" s="288" t="str">
        <f>IF($C71="","",VLOOKUP($C71,CTPit!$E$10:$BG$172,Q$49,FALSE))</f>
        <v/>
      </c>
      <c r="R71" s="288" t="str">
        <f>IF($C71="","",VLOOKUP($C71,CTPit!$E$10:$BG$172,R$49,FALSE))</f>
        <v/>
      </c>
      <c r="S71" s="288" t="str">
        <f>IF($C71="","",VLOOKUP($C71,CTPit!$E$10:$BG$172,S$49,FALSE))</f>
        <v/>
      </c>
      <c r="T71" s="288" t="str">
        <f>IF($C71="","",VLOOKUP($C71,CTPit!$E$10:$BG$172,T$49,FALSE))</f>
        <v/>
      </c>
      <c r="U71" s="288" t="str">
        <f>IF($C71="","",VLOOKUP($C71,CTPit!$E$10:$BG$172,U$49,FALSE))</f>
        <v/>
      </c>
      <c r="V71" s="288" t="str">
        <f>IF($C71="","",VLOOKUP($C71,CTPit!$E$10:$BG$172,V$49,FALSE))</f>
        <v/>
      </c>
      <c r="W71" s="288" t="str">
        <f>IF($C71="","",VLOOKUP($C71,CTPit!$E$10:$BG$172,W$49,FALSE))</f>
        <v/>
      </c>
      <c r="X71" s="288" t="str">
        <f>IF($C71="","",VLOOKUP($C71,CTPit!$E$10:$BG$172,X$49,FALSE))</f>
        <v/>
      </c>
      <c r="Y71" s="289" t="str">
        <f>IF($C71="","",VLOOKUP($C71,CTPit!$E$10:$BG$172,Y$49,FALSE))</f>
        <v/>
      </c>
      <c r="Z71" s="53" t="str">
        <f>IF($C71="","",VLOOKUP($C71,CTPit!$E$10:$BG$172,Z$49,FALSE))</f>
        <v/>
      </c>
      <c r="AA71" s="288" t="str">
        <f>IF($C71="","",VLOOKUP($C71,CTPit!$E$10:$BG$172,AA$49,FALSE))</f>
        <v/>
      </c>
      <c r="AB71" s="80" t="str">
        <f>IF($C71="","",VLOOKUP($C71,CTPit!$E$10:$BG$172,AB$49,FALSE))</f>
        <v/>
      </c>
      <c r="AC71" s="67" t="str">
        <f>IF($C71="","",VLOOKUP($C71,CTPit!$E$10:$BG$172,AC$49,FALSE))</f>
        <v/>
      </c>
      <c r="AD71" s="288" t="str">
        <f>IF($C71="","",VLOOKUP($C71,CTPit!$E$10:$BG$172,AD$49,FALSE))</f>
        <v/>
      </c>
      <c r="AE71" s="288" t="str">
        <f>IF($C71="","",VLOOKUP($C71,CTPit!$E$10:$BG$172,AE$49,FALSE))</f>
        <v/>
      </c>
      <c r="AF71" s="289" t="str">
        <f>IF($C71="","",VLOOKUP($C71,CTPit!$E$10:$BG$172,AF$49,FALSE))</f>
        <v/>
      </c>
      <c r="AG71" s="67" t="str">
        <f>IF($C71="","",VLOOKUP($C71,CTPit!$E$10:$BG$172,AG$49,FALSE))</f>
        <v/>
      </c>
    </row>
    <row r="72" spans="1:33">
      <c r="A72">
        <v>10</v>
      </c>
      <c r="B72" s="39" t="s">
        <v>19</v>
      </c>
      <c r="C72" s="40"/>
      <c r="D72" s="40" t="str">
        <f>IF($C72="","",VLOOKUP($C72,CTPit!$E$10:$BG$214,D$4,FALSE))</f>
        <v/>
      </c>
      <c r="E72" s="40" t="str">
        <f>IF($C72="","",VLOOKUP($C72,CTPit!$E$10:$BG$214,E$4+1,FALSE))</f>
        <v/>
      </c>
      <c r="F72" s="54" t="str">
        <f t="shared" si="81"/>
        <v/>
      </c>
      <c r="G72" s="286" t="str">
        <f t="shared" si="82"/>
        <v/>
      </c>
      <c r="H72" s="287" t="str">
        <f t="shared" si="83"/>
        <v/>
      </c>
      <c r="I72" s="101" t="str">
        <f>IF($C72="","",VLOOKUP($C72,CTPit!$E$10:$BG$172,I$49,FALSE))</f>
        <v/>
      </c>
      <c r="J72" s="286" t="str">
        <f t="shared" si="84"/>
        <v/>
      </c>
      <c r="K72" s="54" t="str">
        <f>IF($C72="","",VLOOKUP($C72,CTPit!$E$10:$BG$172,K$49,FALSE))</f>
        <v/>
      </c>
      <c r="L72" s="286" t="str">
        <f>IF($C72="","",VLOOKUP($C72,CTPit!$E$10:$BG$172,L$49,FALSE))</f>
        <v/>
      </c>
      <c r="M72" s="287" t="str">
        <f>IF($C72="","",VLOOKUP($C72,CTPit!$E$10:$BG$172,M$49,FALSE))</f>
        <v/>
      </c>
      <c r="N72" s="286" t="str">
        <f>IF($C72="","",VLOOKUP($C72,CTPit!$E$10:$BG$172,N$49,FALSE))</f>
        <v/>
      </c>
      <c r="O72" s="286" t="str">
        <f>IF($C72="","",VLOOKUP($C72,CTPit!$E$10:$BG$172,O$49,FALSE))</f>
        <v/>
      </c>
      <c r="P72" s="286" t="str">
        <f>IF($C72="","",VLOOKUP($C72,CTPit!$E$10:$BG$172,P$49,FALSE))</f>
        <v/>
      </c>
      <c r="Q72" s="286" t="str">
        <f>IF($C72="","",VLOOKUP($C72,CTPit!$E$10:$BG$172,Q$49,FALSE))</f>
        <v/>
      </c>
      <c r="R72" s="286" t="str">
        <f>IF($C72="","",VLOOKUP($C72,CTPit!$E$10:$BG$172,R$49,FALSE))</f>
        <v/>
      </c>
      <c r="S72" s="286" t="str">
        <f>IF($C72="","",VLOOKUP($C72,CTPit!$E$10:$BG$172,S$49,FALSE))</f>
        <v/>
      </c>
      <c r="T72" s="286" t="str">
        <f>IF($C72="","",VLOOKUP($C72,CTPit!$E$10:$BG$172,T$49,FALSE))</f>
        <v/>
      </c>
      <c r="U72" s="286" t="str">
        <f>IF($C72="","",VLOOKUP($C72,CTPit!$E$10:$BG$172,U$49,FALSE))</f>
        <v/>
      </c>
      <c r="V72" s="286" t="str">
        <f>IF($C72="","",VLOOKUP($C72,CTPit!$E$10:$BG$172,V$49,FALSE))</f>
        <v/>
      </c>
      <c r="W72" s="286" t="str">
        <f>IF($C72="","",VLOOKUP($C72,CTPit!$E$10:$BG$172,W$49,FALSE))</f>
        <v/>
      </c>
      <c r="X72" s="286" t="str">
        <f>IF($C72="","",VLOOKUP($C72,CTPit!$E$10:$BG$172,X$49,FALSE))</f>
        <v/>
      </c>
      <c r="Y72" s="287" t="str">
        <f>IF($C72="","",VLOOKUP($C72,CTPit!$E$10:$BG$172,Y$49,FALSE))</f>
        <v/>
      </c>
      <c r="Z72" s="54" t="str">
        <f>IF($C72="","",VLOOKUP($C72,CTPit!$E$10:$BG$172,Z$49,FALSE))</f>
        <v/>
      </c>
      <c r="AA72" s="286" t="str">
        <f>IF($C72="","",VLOOKUP($C72,CTPit!$E$10:$BG$172,AA$49,FALSE))</f>
        <v/>
      </c>
      <c r="AB72" s="81" t="str">
        <f>IF($C72="","",VLOOKUP($C72,CTPit!$E$10:$BG$172,AB$49,FALSE))</f>
        <v/>
      </c>
      <c r="AC72" s="68" t="str">
        <f>IF($C72="","",VLOOKUP($C72,CTPit!$E$10:$BG$172,AC$49,FALSE))</f>
        <v/>
      </c>
      <c r="AD72" s="286" t="str">
        <f>IF($C72="","",VLOOKUP($C72,CTPit!$E$10:$BG$172,AD$49,FALSE))</f>
        <v/>
      </c>
      <c r="AE72" s="286" t="str">
        <f>IF($C72="","",VLOOKUP($C72,CTPit!$E$10:$BG$172,AE$49,FALSE))</f>
        <v/>
      </c>
      <c r="AF72" s="287" t="str">
        <f>IF($C72="","",VLOOKUP($C72,CTPit!$E$10:$BG$172,AF$49,FALSE))</f>
        <v/>
      </c>
      <c r="AG72" s="68" t="str">
        <f>IF($C72="","",VLOOKUP($C72,CTPit!$E$10:$BG$172,AG$49,FALSE))</f>
        <v/>
      </c>
    </row>
  </sheetData>
  <mergeCells count="6">
    <mergeCell ref="AG35:AT35"/>
    <mergeCell ref="AH36:AT36"/>
    <mergeCell ref="AH37:AT37"/>
    <mergeCell ref="AH38:AT38"/>
    <mergeCell ref="AH39:AT39"/>
    <mergeCell ref="AH40:AT40"/>
  </mergeCells>
  <conditionalFormatting sqref="G19">
    <cfRule type="expression" dxfId="40" priority="21">
      <formula>IF(SUM(G20:G27)&gt;1,1,0)</formula>
    </cfRule>
  </conditionalFormatting>
  <conditionalFormatting sqref="H19">
    <cfRule type="expression" dxfId="39" priority="20">
      <formula>IF(SUM(H20:H27)&gt;1,1,0)</formula>
    </cfRule>
  </conditionalFormatting>
  <conditionalFormatting sqref="F19">
    <cfRule type="expression" dxfId="38" priority="19">
      <formula>IF(SUM(F20:F27)&gt;1,1,0)</formula>
    </cfRule>
  </conditionalFormatting>
  <conditionalFormatting sqref="I5">
    <cfRule type="expression" dxfId="37" priority="18">
      <formula>-IF(SUM(I6:I17)&gt;1,1,0)</formula>
    </cfRule>
  </conditionalFormatting>
  <conditionalFormatting sqref="H5">
    <cfRule type="expression" dxfId="36" priority="17">
      <formula>-IF(SUM(H6:H17)&gt;1,1,0)</formula>
    </cfRule>
  </conditionalFormatting>
  <conditionalFormatting sqref="F29">
    <cfRule type="expression" dxfId="35" priority="16">
      <formula>IF(SUM($F$30:$F$33)&gt;1,1,0)</formula>
    </cfRule>
  </conditionalFormatting>
  <conditionalFormatting sqref="F50">
    <cfRule type="expression" dxfId="34" priority="15">
      <formula>IF(SUM($F$51:$F$56)&gt;1,1,0)</formula>
    </cfRule>
  </conditionalFormatting>
  <conditionalFormatting sqref="H50">
    <cfRule type="expression" dxfId="33" priority="14">
      <formula>IF(SUM($H$51:$H$56)&gt;3,1,0)</formula>
    </cfRule>
  </conditionalFormatting>
  <conditionalFormatting sqref="G50">
    <cfRule type="expression" dxfId="32" priority="13">
      <formula>IF(SUM($G$51:$G$56)&gt;2,1,0)</formula>
    </cfRule>
  </conditionalFormatting>
  <conditionalFormatting sqref="C30:C33 C20:C27 C6:C17">
    <cfRule type="expression" dxfId="31" priority="11">
      <formula>IF($AZ6&lt;4.5,1,0)</formula>
    </cfRule>
    <cfRule type="expression" dxfId="30" priority="12">
      <formula>IF($AZ6&gt;7,1,0)</formula>
    </cfRule>
  </conditionalFormatting>
  <conditionalFormatting sqref="C21">
    <cfRule type="expression" dxfId="29" priority="9">
      <formula>IF($AK21&lt;4.5,1,0)</formula>
    </cfRule>
    <cfRule type="expression" dxfId="28" priority="10">
      <formula>IF($AK21&gt;7,1,0)</formula>
    </cfRule>
  </conditionalFormatting>
  <conditionalFormatting sqref="F5">
    <cfRule type="expression" dxfId="27" priority="8">
      <formula>IF(SUM(F6:F17)&gt;1,1,0)</formula>
    </cfRule>
  </conditionalFormatting>
  <conditionalFormatting sqref="G5">
    <cfRule type="expression" dxfId="26" priority="7">
      <formula>IF(SUM(G6:G17)&gt;1,1,0)</formula>
    </cfRule>
  </conditionalFormatting>
  <conditionalFormatting sqref="C51:C56 C59:C60 C63:C72">
    <cfRule type="expression" dxfId="25" priority="3">
      <formula>IF($AC51&lt;$D$2,1,0)</formula>
    </cfRule>
    <cfRule type="expression" dxfId="24" priority="4">
      <formula>IF($AC51&gt;$C$3,1,0)</formula>
    </cfRule>
    <cfRule type="expression" dxfId="23" priority="5">
      <formula>IF($AG51&lt;5.75,1,0)</formula>
    </cfRule>
    <cfRule type="expression" dxfId="22" priority="6">
      <formula>IF($AG51&gt;6,1,0)</formula>
    </cfRule>
  </conditionalFormatting>
  <conditionalFormatting sqref="C6:C17 C20:C27 C30:C33">
    <cfRule type="expression" dxfId="21" priority="1">
      <formula>IF($AK6&lt;$D$2,1,0)</formula>
    </cfRule>
    <cfRule type="expression" dxfId="20" priority="2">
      <formula>IF($AK6&gt;$C$2,1,0)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published="0">
    <tabColor theme="3" tint="0.39997558519241921"/>
  </sheetPr>
  <dimension ref="A1:AZ72"/>
  <sheetViews>
    <sheetView topLeftCell="A37" zoomScale="85" zoomScaleNormal="85" workbookViewId="0">
      <selection activeCell="C69" sqref="C69"/>
    </sheetView>
  </sheetViews>
  <sheetFormatPr defaultRowHeight="15"/>
  <cols>
    <col min="1" max="1" width="3.140625" customWidth="1"/>
    <col min="2" max="2" width="10.7109375" style="1" bestFit="1" customWidth="1"/>
    <col min="3" max="3" width="20" style="26" bestFit="1" customWidth="1"/>
    <col min="4" max="4" width="4.5703125" style="26" customWidth="1"/>
    <col min="5" max="5" width="4.42578125" style="26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1.42578125" bestFit="1" customWidth="1"/>
    <col min="27" max="27" width="4.28515625" bestFit="1" customWidth="1"/>
    <col min="28" max="29" width="4.7109375" bestFit="1" customWidth="1"/>
    <col min="30" max="32" width="4.28515625" bestFit="1" customWidth="1"/>
    <col min="33" max="33" width="6.28515625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>
      <c r="C1" s="321" t="s">
        <v>648</v>
      </c>
      <c r="D1" s="321" t="s">
        <v>649</v>
      </c>
    </row>
    <row r="2" spans="1:52">
      <c r="B2" s="321" t="s">
        <v>650</v>
      </c>
      <c r="C2" s="322">
        <v>5.5</v>
      </c>
      <c r="D2" s="322">
        <v>4.5</v>
      </c>
    </row>
    <row r="3" spans="1:52">
      <c r="B3" s="321" t="s">
        <v>651</v>
      </c>
      <c r="C3" s="322">
        <v>5.5</v>
      </c>
      <c r="D3" s="322">
        <v>4.5</v>
      </c>
    </row>
    <row r="4" spans="1:52">
      <c r="D4" s="26">
        <v>4</v>
      </c>
      <c r="E4" s="26">
        <v>5</v>
      </c>
      <c r="J4">
        <v>23</v>
      </c>
      <c r="K4">
        <v>21</v>
      </c>
      <c r="L4">
        <v>22</v>
      </c>
      <c r="M4">
        <v>24</v>
      </c>
      <c r="N4">
        <v>25</v>
      </c>
      <c r="O4">
        <v>26</v>
      </c>
      <c r="P4">
        <v>27</v>
      </c>
      <c r="Q4">
        <v>28</v>
      </c>
      <c r="R4">
        <v>29</v>
      </c>
      <c r="S4">
        <v>30</v>
      </c>
      <c r="T4">
        <v>31</v>
      </c>
      <c r="AD4">
        <v>11</v>
      </c>
      <c r="AE4">
        <v>12</v>
      </c>
      <c r="AF4">
        <v>13</v>
      </c>
      <c r="AG4">
        <v>14</v>
      </c>
      <c r="AH4">
        <v>15</v>
      </c>
      <c r="AI4">
        <v>32</v>
      </c>
      <c r="AJ4">
        <v>33</v>
      </c>
      <c r="AU4">
        <v>16</v>
      </c>
      <c r="AV4">
        <v>17</v>
      </c>
      <c r="AW4">
        <v>18</v>
      </c>
      <c r="AX4">
        <v>19</v>
      </c>
      <c r="AY4">
        <v>20</v>
      </c>
    </row>
    <row r="5" spans="1:52" s="24" customFormat="1" ht="216.75">
      <c r="A5" s="25" t="s">
        <v>196</v>
      </c>
      <c r="B5" s="283" t="s">
        <v>127</v>
      </c>
      <c r="C5" s="44" t="str">
        <f>"Player ("&amp;COUNTA(C6:C17)&amp;")"</f>
        <v>Player (7)</v>
      </c>
      <c r="D5" s="44" t="s">
        <v>94</v>
      </c>
      <c r="E5" s="44" t="s">
        <v>104</v>
      </c>
      <c r="F5" s="51" t="str">
        <f>"Only 1 guy who plays only 1B ("&amp;SUM(F6:F17)&amp;")"</f>
        <v>Only 1 guy who plays only 1B (1)</v>
      </c>
      <c r="G5" s="45" t="str">
        <f>"Only 1 guy who can only play 1B or LF ("&amp;SUM(G6:G17)&amp;")"</f>
        <v>Only 1 guy who can only play 1B or LF (1)</v>
      </c>
      <c r="H5" s="46" t="str">
        <f>"2 guys with RF arms ("&amp;SUM(H6:H17)&amp;")"</f>
        <v>2 guys with RF arms (3)</v>
      </c>
      <c r="I5" s="46" t="str">
        <f>"2 guys with CF range ("&amp;SUM(I6:I17)&amp;")"</f>
        <v>2 guys with CF range (2)</v>
      </c>
      <c r="J5" s="55" t="s">
        <v>139</v>
      </c>
      <c r="K5" s="47" t="s">
        <v>137</v>
      </c>
      <c r="L5" s="56" t="s">
        <v>138</v>
      </c>
      <c r="M5" s="48" t="s">
        <v>95</v>
      </c>
      <c r="N5" s="48" t="s">
        <v>97</v>
      </c>
      <c r="O5" s="48" t="s">
        <v>98</v>
      </c>
      <c r="P5" s="48" t="s">
        <v>99</v>
      </c>
      <c r="Q5" s="48" t="s">
        <v>100</v>
      </c>
      <c r="R5" s="48" t="s">
        <v>101</v>
      </c>
      <c r="S5" s="48" t="s">
        <v>102</v>
      </c>
      <c r="T5" s="49" t="s">
        <v>103</v>
      </c>
      <c r="U5" s="51" t="s">
        <v>140</v>
      </c>
      <c r="V5" s="45" t="s">
        <v>184</v>
      </c>
      <c r="W5" s="45" t="s">
        <v>141</v>
      </c>
      <c r="X5" s="45" t="s">
        <v>157</v>
      </c>
      <c r="Y5" s="45" t="s">
        <v>156</v>
      </c>
      <c r="Z5" s="45" t="s">
        <v>144</v>
      </c>
      <c r="AA5" s="45" t="s">
        <v>145</v>
      </c>
      <c r="AB5" s="45" t="s">
        <v>162</v>
      </c>
      <c r="AC5" s="60" t="s">
        <v>146</v>
      </c>
      <c r="AD5" s="48" t="s">
        <v>150</v>
      </c>
      <c r="AE5" s="48" t="s">
        <v>151</v>
      </c>
      <c r="AF5" s="48" t="s">
        <v>152</v>
      </c>
      <c r="AG5" s="48" t="s">
        <v>153</v>
      </c>
      <c r="AH5" s="48" t="s">
        <v>29</v>
      </c>
      <c r="AI5" s="63" t="s">
        <v>154</v>
      </c>
      <c r="AJ5" s="49" t="s">
        <v>155</v>
      </c>
      <c r="AK5" s="66" t="s">
        <v>160</v>
      </c>
      <c r="AL5" s="51" t="s">
        <v>140</v>
      </c>
      <c r="AM5" s="45" t="s">
        <v>184</v>
      </c>
      <c r="AN5" s="45" t="s">
        <v>141</v>
      </c>
      <c r="AO5" s="45" t="s">
        <v>157</v>
      </c>
      <c r="AP5" s="45" t="s">
        <v>156</v>
      </c>
      <c r="AQ5" s="45" t="s">
        <v>144</v>
      </c>
      <c r="AR5" s="45" t="s">
        <v>145</v>
      </c>
      <c r="AS5" s="45" t="s">
        <v>162</v>
      </c>
      <c r="AT5" s="60" t="s">
        <v>146</v>
      </c>
      <c r="AU5" s="63" t="s">
        <v>150</v>
      </c>
      <c r="AV5" s="48" t="s">
        <v>151</v>
      </c>
      <c r="AW5" s="48" t="s">
        <v>152</v>
      </c>
      <c r="AX5" s="48" t="s">
        <v>153</v>
      </c>
      <c r="AY5" s="49" t="s">
        <v>29</v>
      </c>
      <c r="AZ5" s="66" t="s">
        <v>201</v>
      </c>
    </row>
    <row r="6" spans="1:52">
      <c r="A6">
        <v>1</v>
      </c>
      <c r="B6" s="32" t="s">
        <v>97</v>
      </c>
      <c r="C6" s="37" t="s">
        <v>398</v>
      </c>
      <c r="D6" s="33">
        <f>IF($C6="","",VLOOKUP($C6,CTBat!$G$10:$BR$208,D$4,FALSE))</f>
        <v>21</v>
      </c>
      <c r="E6" s="33" t="str">
        <f>IF($C6="","",VLOOKUP($C6,CTBat!$G$10:$BR$208,E$4,FALSE))</f>
        <v>L</v>
      </c>
      <c r="F6" s="52">
        <f>IF($C6="","",IF(AND(N6&gt;0,N6=SUM(M6:T6)),1,0))</f>
        <v>1</v>
      </c>
      <c r="G6" s="34">
        <f>IF($C6="","",IF(AND(OR(N6&gt;0,R6&gt;0),SUM(N6,R6)=SUM(M6:T6)),1,0))</f>
        <v>1</v>
      </c>
      <c r="H6" s="34">
        <f>IF($C6="","",IF(L6&gt;6,1,0))</f>
        <v>0</v>
      </c>
      <c r="I6" s="34">
        <f t="shared" ref="I6:I10" si="0">IF($C6="","",IF(AND(S6&gt;4,S6&lt;&gt;"-"),1,0))</f>
        <v>0</v>
      </c>
      <c r="J6" s="57">
        <f>IF($C6="","",VLOOKUP($C6,CTBat!$G$10:$BR$208,J$4,FALSE))</f>
        <v>1</v>
      </c>
      <c r="K6" s="33">
        <f>IF($C6="","",VLOOKUP($C6,CTBat!$G$10:$BR$208,K$4,FALSE))</f>
        <v>3</v>
      </c>
      <c r="L6" s="35">
        <f>IF($C6="","",VLOOKUP($C6,CTBat!$G$10:$BR$208,L$4,FALSE))</f>
        <v>3</v>
      </c>
      <c r="M6" s="33" t="str">
        <f>IF($C6="","",VLOOKUP($C6,CTBat!$G$10:$BR$208,M$4,FALSE))</f>
        <v>-</v>
      </c>
      <c r="N6" s="33">
        <f>IF($C6="","",VLOOKUP($C6,CTBat!$G$10:$BR$208,N$4,FALSE))</f>
        <v>2</v>
      </c>
      <c r="O6" s="33" t="str">
        <f>IF($C6="","",VLOOKUP($C6,CTBat!$G$10:$BR$208,O$4,FALSE))</f>
        <v>-</v>
      </c>
      <c r="P6" s="33" t="str">
        <f>IF($C6="","",VLOOKUP($C6,CTBat!$G$10:$BR$208,P$4,FALSE))</f>
        <v>-</v>
      </c>
      <c r="Q6" s="33" t="str">
        <f>IF($C6="","",VLOOKUP($C6,CTBat!$G$10:$BR$208,Q$4,FALSE))</f>
        <v>-</v>
      </c>
      <c r="R6" s="33" t="str">
        <f>IF($C6="","",VLOOKUP($C6,CTBat!$G$10:$BR$208,R$4,FALSE))</f>
        <v>-</v>
      </c>
      <c r="S6" s="33" t="str">
        <f>IF($C6="","",VLOOKUP($C6,CTBat!$G$10:$BR$208,S$4,FALSE))</f>
        <v>-</v>
      </c>
      <c r="T6" s="35" t="str">
        <f>IF($C6="","",VLOOKUP($C6,CTBat!$G$10:$BR$208,T$4,FALSE))</f>
        <v>-</v>
      </c>
      <c r="U6" s="53">
        <f t="shared" ref="U6:U17" si="1">IF($C6="","",IF(OR(AD6+AG6&gt;14,AND(OR(AD6+AG6&gt;12,AND(AD6&gt;6,AG6&gt;6)),AI6&gt;6,OR(AJ6&gt;=AI6,AJ6&gt;6))),1,0))</f>
        <v>0</v>
      </c>
      <c r="V6" s="288">
        <f t="shared" ref="V6:V17" si="2">IF($C6="","",IF(OR(AND(AD6&gt;6,AH6&gt;6),AD6+AG6&gt;12),1,0))</f>
        <v>0</v>
      </c>
      <c r="W6" s="34">
        <f>IF($C6="","",IF(AND(AD6&gt;6,AF6&gt;6,AG6&gt;6),1,0))</f>
        <v>0</v>
      </c>
      <c r="X6" s="34">
        <f>IF($C6="","",IF(AND(AF6&gt;7,OR(AD6&gt;6,AG6&gt;6)),1,0))</f>
        <v>0</v>
      </c>
      <c r="Y6" s="34">
        <f>IF($C6="","",IF(AND(AF6&gt;6,OR(AD6&gt;6,AG6&gt;6)),1,0))</f>
        <v>0</v>
      </c>
      <c r="Z6" s="34">
        <f>IF($C6="","",IF(AND(OR(AD6&gt;6,AF6&gt;6),OR(AD6&gt;6,AG6&gt;6)),1,0))</f>
        <v>1</v>
      </c>
      <c r="AA6" s="34">
        <f>IF($C6="","",IF(AND(AD6&gt;4,OR(AD6&gt;6,AF6&gt;6,AG6&gt;6)),1,0))</f>
        <v>1</v>
      </c>
      <c r="AB6" s="34">
        <f>IF($C6="","",IF(AND(AD6&gt;4,OR(AD6&gt;6,AE6&gt;6,AF6&gt;6,AG6&gt;6)),1,0))</f>
        <v>1</v>
      </c>
      <c r="AC6" s="61">
        <f>IF($C6="","",IF(AND(AD6&gt;4,MAX(AD6:AH6)&gt;6),1,0))</f>
        <v>1</v>
      </c>
      <c r="AD6" s="33">
        <f>IF($C6="","",VLOOKUP($C6,CTBat!$G$10:$BR$208,AD$4,FALSE))</f>
        <v>7</v>
      </c>
      <c r="AE6" s="33">
        <f>IF($C6="","",VLOOKUP($C6,CTBat!$G$10:$BR$208,AE$4,FALSE))</f>
        <v>7</v>
      </c>
      <c r="AF6" s="33">
        <f>IF($C6="","",VLOOKUP($C6,CTBat!$G$10:$BR$208,AF$4,FALSE))</f>
        <v>2</v>
      </c>
      <c r="AG6" s="33">
        <f>IF($C6="","",VLOOKUP($C6,CTBat!$G$10:$BR$208,AG$4,FALSE))</f>
        <v>4</v>
      </c>
      <c r="AH6" s="33">
        <f>IF($C6="","",VLOOKUP($C6,CTBat!$G$10:$BR$208,AH$4,FALSE))</f>
        <v>5</v>
      </c>
      <c r="AI6" s="57">
        <f>IF($C6="","",VLOOKUP($C6,CTBat!$G$10:$BR$208,AI$4,FALSE))</f>
        <v>3</v>
      </c>
      <c r="AJ6" s="35">
        <f>IF($C6="","",VLOOKUP($C6,CTBat!$G$10:$BR$208,AJ$4,FALSE))</f>
        <v>3</v>
      </c>
      <c r="AK6" s="67">
        <f>IF($C6="","",(5*AD6+4*AF6+3*AG6+2*AE6+1*AH6+0.5*(AVERAGE(AD6:AE6))+0.5*AVERAGE(AD6,AH6)+1*(AVERAGE(AD6,AF6))+1*AVERAGE(AD6,AG6))/(5+4+3+2+1+0.5+0.5+1+1))</f>
        <v>5.0277777777777777</v>
      </c>
      <c r="AL6" s="52">
        <f>IF($C6="","",IF(AND(OR(AU6+AX6&gt;12,AND(AU6&gt;6,AX6&gt;6)),AI6&gt;6,OR(AJ6&gt;=AI6,AJ6&gt;6)),1,0))</f>
        <v>0</v>
      </c>
      <c r="AM6" s="34">
        <f>IF($C6="","",IF(OR(AND(AU6&gt;6,AY6&gt;6),AU6+AX6&gt;12),1,0))</f>
        <v>1</v>
      </c>
      <c r="AN6" s="34">
        <f>IF($C6="","",IF(AND(AU6&gt;6,AW6&gt;6,AX6&gt;6),1,0))</f>
        <v>0</v>
      </c>
      <c r="AO6" s="34">
        <f>IF($C6="","",IF(AND(AW6&gt;7,OR(AU6&gt;6,AX6&gt;6)),1,0))</f>
        <v>0</v>
      </c>
      <c r="AP6" s="34">
        <f>IF($C6="","",IF(AND(AW6&gt;6,OR(AU6&gt;6,AX6&gt;6)),1,0))</f>
        <v>0</v>
      </c>
      <c r="AQ6" s="34">
        <f>IF($C6="","",IF(AND(OR(AU6&gt;6,AW6&gt;6),OR(AU6&gt;6,AX6&gt;6)),1,0))</f>
        <v>1</v>
      </c>
      <c r="AR6" s="34">
        <f>IF($C6="","",IF(AND(AU6&gt;4,OR(AU6&gt;6,AW6&gt;6,AX6&gt;6)),1,0))</f>
        <v>1</v>
      </c>
      <c r="AS6" s="34">
        <f>IF($C6="","",IF(AND(AU6&gt;4,OR(AU6&gt;6,AV6&gt;6,AW6&gt;6,AX6&gt;6)),1,0))</f>
        <v>1</v>
      </c>
      <c r="AT6" s="61">
        <f>IF($C6="","",IF(AND(AU6&gt;4,MAX(AU6:AY6)&gt;6),1,0))</f>
        <v>1</v>
      </c>
      <c r="AU6" s="57">
        <f>IF($C6="","",VLOOKUP($C6,CTBat!$G$10:$BR$208,AU$4,FALSE))</f>
        <v>9</v>
      </c>
      <c r="AV6" s="33">
        <f>IF($C6="","",VLOOKUP($C6,CTBat!$G$10:$BR$208,AV$4,FALSE))</f>
        <v>7</v>
      </c>
      <c r="AW6" s="33">
        <f>IF($C6="","",VLOOKUP($C6,CTBat!$G$10:$BR$208,AW$4,FALSE))</f>
        <v>4</v>
      </c>
      <c r="AX6" s="33">
        <f>IF($C6="","",VLOOKUP($C6,CTBat!$G$10:$BR$208,AX$4,FALSE))</f>
        <v>5</v>
      </c>
      <c r="AY6" s="35">
        <f>IF($C6="","",VLOOKUP($C6,CTBat!$G$10:$BR$208,AY$4,FALSE))</f>
        <v>7</v>
      </c>
      <c r="AZ6" s="67">
        <f>IF($C6="","",(5*AU6+4*AW6+3*AX6+2*AV6+1*AY6+0.5*(AVERAGE(AU6:AV6))+0.5*AVERAGE(AU6,AY6)+1*(AVERAGE(AU6,AW6))+1*AVERAGE(AU6,AX6))/(5+4+3+2+1+0.5+0.5+1+1))</f>
        <v>6.583333333333333</v>
      </c>
    </row>
    <row r="7" spans="1:52">
      <c r="A7">
        <v>2</v>
      </c>
      <c r="B7" s="36" t="s">
        <v>101</v>
      </c>
      <c r="C7" s="37" t="s">
        <v>251</v>
      </c>
      <c r="D7" s="37">
        <f>IF($C7="","",VLOOKUP($C7,CTBat!$G$10:$BR$208,D$4,FALSE))</f>
        <v>26</v>
      </c>
      <c r="E7" s="37" t="str">
        <f>IF($C7="","",VLOOKUP($C7,CTBat!$G$10:$BR$208,E$4,FALSE))</f>
        <v>R</v>
      </c>
      <c r="F7" s="53">
        <f t="shared" ref="F7:F17" si="3">IF($C7="","",IF(AND(N7&gt;0,N7=SUM(M7:T7)),1,0))</f>
        <v>0</v>
      </c>
      <c r="G7" s="288">
        <f t="shared" ref="G7:G17" si="4">IF($C7="","",IF(AND(OR(N7&gt;0,R7&gt;0),SUM(N7,R7)=SUM(M7:T7)),1,0))</f>
        <v>0</v>
      </c>
      <c r="H7" s="288">
        <f t="shared" ref="H7:H17" si="5">IF($C7="","",IF(L7&gt;6,1,0))</f>
        <v>0</v>
      </c>
      <c r="I7" s="288">
        <f t="shared" si="0"/>
        <v>0</v>
      </c>
      <c r="J7" s="58">
        <f>IF($C7="","",VLOOKUP($C7,CTBat!$G$10:$BR$208,J$4,FALSE))</f>
        <v>1</v>
      </c>
      <c r="K7" s="37">
        <f>IF($C7="","",VLOOKUP($C7,CTBat!$G$10:$BR$208,K$4,FALSE))</f>
        <v>1</v>
      </c>
      <c r="L7" s="38">
        <f>IF($C7="","",VLOOKUP($C7,CTBat!$G$10:$BR$208,L$4,FALSE))</f>
        <v>6</v>
      </c>
      <c r="M7" s="37" t="str">
        <f>IF($C7="","",VLOOKUP($C7,CTBat!$G$10:$BR$208,M$4,FALSE))</f>
        <v>-</v>
      </c>
      <c r="N7" s="37">
        <f>IF($C7="","",VLOOKUP($C7,CTBat!$G$10:$BR$208,N$4,FALSE))</f>
        <v>1</v>
      </c>
      <c r="O7" s="37" t="str">
        <f>IF($C7="","",VLOOKUP($C7,CTBat!$G$10:$BR$208,O$4,FALSE))</f>
        <v>-</v>
      </c>
      <c r="P7" s="37" t="str">
        <f>IF($C7="","",VLOOKUP($C7,CTBat!$G$10:$BR$208,P$4,FALSE))</f>
        <v>-</v>
      </c>
      <c r="Q7" s="37" t="str">
        <f>IF($C7="","",VLOOKUP($C7,CTBat!$G$10:$BR$208,Q$4,FALSE))</f>
        <v>-</v>
      </c>
      <c r="R7" s="37">
        <f>IF($C7="","",VLOOKUP($C7,CTBat!$G$10:$BR$208,R$4,FALSE))</f>
        <v>6</v>
      </c>
      <c r="S7" s="37" t="str">
        <f>IF($C7="","",VLOOKUP($C7,CTBat!$G$10:$BR$208,S$4,FALSE))</f>
        <v>-</v>
      </c>
      <c r="T7" s="38">
        <f>IF($C7="","",VLOOKUP($C7,CTBat!$G$10:$BR$208,T$4,FALSE))</f>
        <v>3</v>
      </c>
      <c r="U7" s="53">
        <f t="shared" si="1"/>
        <v>0</v>
      </c>
      <c r="V7" s="288">
        <f t="shared" si="2"/>
        <v>0</v>
      </c>
      <c r="W7" s="288">
        <f t="shared" ref="W7:W17" si="6">IF($C7="","",IF(AND(AD7&gt;6,AF7&gt;6,AG7&gt;6),1,0))</f>
        <v>0</v>
      </c>
      <c r="X7" s="288">
        <f t="shared" ref="X7:X17" si="7">IF($C7="","",IF(AND(AF7&gt;7,OR(AD7&gt;6,AG7&gt;6)),1,0))</f>
        <v>0</v>
      </c>
      <c r="Y7" s="288">
        <f t="shared" ref="Y7:Y17" si="8">IF($C7="","",IF(AND(AF7&gt;6,OR(AD7&gt;6,AG7&gt;6)),1,0))</f>
        <v>0</v>
      </c>
      <c r="Z7" s="288">
        <f t="shared" ref="Z7:Z17" si="9">IF($C7="","",IF(AND(OR(AD7&gt;6,AF7&gt;6),OR(AD7&gt;6,AG7&gt;6)),1,0))</f>
        <v>0</v>
      </c>
      <c r="AA7" s="288">
        <f t="shared" ref="AA7:AA17" si="10">IF($C7="","",IF(AND(AD7&gt;4,OR(AD7&gt;6,AF7&gt;6,AG7&gt;6)),1,0))</f>
        <v>0</v>
      </c>
      <c r="AB7" s="288">
        <f t="shared" ref="AB7:AB17" si="11">IF($C7="","",IF(AND(AD7&gt;4,OR(AD7&gt;6,AE7&gt;6,AF7&gt;6,AG7&gt;6)),1,0))</f>
        <v>1</v>
      </c>
      <c r="AC7" s="289">
        <f t="shared" ref="AC7:AC17" si="12">IF($C7="","",IF(AND(AD7&gt;4,MAX(AD7:AH7)&gt;6),1,0))</f>
        <v>1</v>
      </c>
      <c r="AD7" s="37">
        <f>IF($C7="","",VLOOKUP($C7,CTBat!$G$10:$BR$208,AD$4,FALSE))</f>
        <v>6</v>
      </c>
      <c r="AE7" s="37">
        <f>IF($C7="","",VLOOKUP($C7,CTBat!$G$10:$BR$208,AE$4,FALSE))</f>
        <v>8</v>
      </c>
      <c r="AF7" s="37">
        <f>IF($C7="","",VLOOKUP($C7,CTBat!$G$10:$BR$208,AF$4,FALSE))</f>
        <v>4</v>
      </c>
      <c r="AG7" s="37">
        <f>IF($C7="","",VLOOKUP($C7,CTBat!$G$10:$BR$208,AG$4,FALSE))</f>
        <v>5</v>
      </c>
      <c r="AH7" s="37">
        <f>IF($C7="","",VLOOKUP($C7,CTBat!$G$10:$BR$208,AH$4,FALSE))</f>
        <v>5</v>
      </c>
      <c r="AI7" s="58">
        <f>IF($C7="","",VLOOKUP($C7,CTBat!$G$10:$BR$208,AI$4,FALSE))</f>
        <v>2</v>
      </c>
      <c r="AJ7" s="38">
        <f>IF($C7="","",VLOOKUP($C7,CTBat!$G$10:$BR$208,AJ$4,FALSE))</f>
        <v>3</v>
      </c>
      <c r="AK7" s="67">
        <f t="shared" ref="AK7:AK17" si="13">IF($C7="","",(5*AD7+4*AF7+3*AG7+2*AE7+1*AH7+0.5*(AVERAGE(AD7:AE7))+0.5*AVERAGE(AD7,AH7)+1*(AVERAGE(AD7,AF7))+1*AVERAGE(AD7,AG7))/(5+4+3+2+1+0.5+0.5+1+1))</f>
        <v>5.4861111111111107</v>
      </c>
      <c r="AL7" s="53">
        <f t="shared" ref="AL7:AL17" si="14">IF($C7="","",IF(AND(OR(AU7+AX7&gt;12,AND(AU7&gt;6,AX7&gt;6)),AI7&gt;6,OR(AJ7&gt;=AI7,AJ7&gt;6)),1,0))</f>
        <v>0</v>
      </c>
      <c r="AM7" s="288">
        <f t="shared" ref="AM7:AM17" si="15">IF($C7="","",IF(OR(AND(AU7&gt;6,AY7&gt;6),AU7+AX7&gt;12),1,0))</f>
        <v>0</v>
      </c>
      <c r="AN7" s="288">
        <f t="shared" ref="AN7:AN17" si="16">IF($C7="","",IF(AND(AU7&gt;6,AW7&gt;6,AX7&gt;6),1,0))</f>
        <v>0</v>
      </c>
      <c r="AO7" s="288">
        <f t="shared" ref="AO7:AO17" si="17">IF($C7="","",IF(AND(AW7&gt;7,OR(AU7&gt;6,AX7&gt;6)),1,0))</f>
        <v>0</v>
      </c>
      <c r="AP7" s="288">
        <f t="shared" ref="AP7:AP17" si="18">IF($C7="","",IF(AND(AW7&gt;6,OR(AU7&gt;6,AX7&gt;6)),1,0))</f>
        <v>0</v>
      </c>
      <c r="AQ7" s="288">
        <f t="shared" ref="AQ7:AQ17" si="19">IF($C7="","",IF(AND(OR(AU7&gt;6,AW7&gt;6),OR(AU7&gt;6,AX7&gt;6)),1,0))</f>
        <v>1</v>
      </c>
      <c r="AR7" s="288">
        <f t="shared" ref="AR7:AR17" si="20">IF($C7="","",IF(AND(AU7&gt;4,OR(AU7&gt;6,AW7&gt;6,AX7&gt;6)),1,0))</f>
        <v>1</v>
      </c>
      <c r="AS7" s="288">
        <f t="shared" ref="AS7:AS17" si="21">IF($C7="","",IF(AND(AU7&gt;4,OR(AU7&gt;6,AV7&gt;6,AW7&gt;6,AX7&gt;6)),1,0))</f>
        <v>1</v>
      </c>
      <c r="AT7" s="289">
        <f t="shared" ref="AT7:AT17" si="22">IF($C7="","",IF(AND(AU7&gt;4,MAX(AU7:AY7)&gt;6),1,0))</f>
        <v>1</v>
      </c>
      <c r="AU7" s="58">
        <f>IF($C7="","",VLOOKUP($C7,CTBat!$G$10:$BR$208,AU$4,FALSE))</f>
        <v>7</v>
      </c>
      <c r="AV7" s="37">
        <f>IF($C7="","",VLOOKUP($C7,CTBat!$G$10:$BR$208,AV$4,FALSE))</f>
        <v>9</v>
      </c>
      <c r="AW7" s="37">
        <f>IF($C7="","",VLOOKUP($C7,CTBat!$G$10:$BR$208,AW$4,FALSE))</f>
        <v>4</v>
      </c>
      <c r="AX7" s="37">
        <f>IF($C7="","",VLOOKUP($C7,CTBat!$G$10:$BR$208,AX$4,FALSE))</f>
        <v>5</v>
      </c>
      <c r="AY7" s="38">
        <f>IF($C7="","",VLOOKUP($C7,CTBat!$G$10:$BR$208,AY$4,FALSE))</f>
        <v>5</v>
      </c>
      <c r="AZ7" s="67">
        <f t="shared" ref="AZ7:AZ17" si="23">IF($C7="","",(5*AU7+4*AW7+3*AX7+2*AV7+1*AY7+0.5*(AVERAGE(AU7:AV7))+0.5*AVERAGE(AU7,AY7)+1*(AVERAGE(AU7,AW7))+1*AVERAGE(AU7,AX7))/(5+4+3+2+1+0.5+0.5+1+1))</f>
        <v>5.9722222222222223</v>
      </c>
    </row>
    <row r="8" spans="1:52">
      <c r="A8">
        <v>3</v>
      </c>
      <c r="B8" s="36" t="s">
        <v>102</v>
      </c>
      <c r="C8" s="37" t="s">
        <v>404</v>
      </c>
      <c r="D8" s="37">
        <f>IF($C8="","",VLOOKUP($C8,CTBat!$G$10:$BR$208,D$4,FALSE))</f>
        <v>24</v>
      </c>
      <c r="E8" s="37" t="str">
        <f>IF($C8="","",VLOOKUP($C8,CTBat!$G$10:$BR$208,E$4,FALSE))</f>
        <v>L</v>
      </c>
      <c r="F8" s="53">
        <f t="shared" si="3"/>
        <v>0</v>
      </c>
      <c r="G8" s="288">
        <f t="shared" si="4"/>
        <v>0</v>
      </c>
      <c r="H8" s="288">
        <f t="shared" si="5"/>
        <v>1</v>
      </c>
      <c r="I8" s="288">
        <f t="shared" si="0"/>
        <v>1</v>
      </c>
      <c r="J8" s="58">
        <f>IF($C8="","",VLOOKUP($C8,CTBat!$G$10:$BR$208,J$4,FALSE))</f>
        <v>1</v>
      </c>
      <c r="K8" s="37">
        <f>IF($C8="","",VLOOKUP($C8,CTBat!$G$10:$BR$208,K$4,FALSE))</f>
        <v>1</v>
      </c>
      <c r="L8" s="38">
        <f>IF($C8="","",VLOOKUP($C8,CTBat!$G$10:$BR$208,L$4,FALSE))</f>
        <v>8</v>
      </c>
      <c r="M8" s="37" t="str">
        <f>IF($C8="","",VLOOKUP($C8,CTBat!$G$10:$BR$208,M$4,FALSE))</f>
        <v>-</v>
      </c>
      <c r="N8" s="37" t="str">
        <f>IF($C8="","",VLOOKUP($C8,CTBat!$G$10:$BR$208,N$4,FALSE))</f>
        <v>-</v>
      </c>
      <c r="O8" s="37" t="str">
        <f>IF($C8="","",VLOOKUP($C8,CTBat!$G$10:$BR$208,O$4,FALSE))</f>
        <v>-</v>
      </c>
      <c r="P8" s="37" t="str">
        <f>IF($C8="","",VLOOKUP($C8,CTBat!$G$10:$BR$208,P$4,FALSE))</f>
        <v>-</v>
      </c>
      <c r="Q8" s="37" t="str">
        <f>IF($C8="","",VLOOKUP($C8,CTBat!$G$10:$BR$208,Q$4,FALSE))</f>
        <v>-</v>
      </c>
      <c r="R8" s="37">
        <f>IF($C8="","",VLOOKUP($C8,CTBat!$G$10:$BR$208,R$4,FALSE))</f>
        <v>5</v>
      </c>
      <c r="S8" s="37">
        <f>IF($C8="","",VLOOKUP($C8,CTBat!$G$10:$BR$208,S$4,FALSE))</f>
        <v>8</v>
      </c>
      <c r="T8" s="38">
        <f>IF($C8="","",VLOOKUP($C8,CTBat!$G$10:$BR$208,T$4,FALSE))</f>
        <v>7</v>
      </c>
      <c r="U8" s="53">
        <f t="shared" si="1"/>
        <v>0</v>
      </c>
      <c r="V8" s="288">
        <f t="shared" si="2"/>
        <v>0</v>
      </c>
      <c r="W8" s="288">
        <f t="shared" si="6"/>
        <v>0</v>
      </c>
      <c r="X8" s="288">
        <f t="shared" si="7"/>
        <v>0</v>
      </c>
      <c r="Y8" s="288">
        <f t="shared" si="8"/>
        <v>0</v>
      </c>
      <c r="Z8" s="288">
        <f t="shared" si="9"/>
        <v>0</v>
      </c>
      <c r="AA8" s="288">
        <f t="shared" si="10"/>
        <v>0</v>
      </c>
      <c r="AB8" s="288">
        <f t="shared" si="11"/>
        <v>1</v>
      </c>
      <c r="AC8" s="289">
        <f t="shared" si="12"/>
        <v>1</v>
      </c>
      <c r="AD8" s="37">
        <f>IF($C8="","",VLOOKUP($C8,CTBat!$G$10:$BR$208,AD$4,FALSE))</f>
        <v>6</v>
      </c>
      <c r="AE8" s="37">
        <f>IF($C8="","",VLOOKUP($C8,CTBat!$G$10:$BR$208,AE$4,FALSE))</f>
        <v>7</v>
      </c>
      <c r="AF8" s="37">
        <f>IF($C8="","",VLOOKUP($C8,CTBat!$G$10:$BR$208,AF$4,FALSE))</f>
        <v>5</v>
      </c>
      <c r="AG8" s="37">
        <f>IF($C8="","",VLOOKUP($C8,CTBat!$G$10:$BR$208,AG$4,FALSE))</f>
        <v>5</v>
      </c>
      <c r="AH8" s="37">
        <f>IF($C8="","",VLOOKUP($C8,CTBat!$G$10:$BR$208,AH$4,FALSE))</f>
        <v>4</v>
      </c>
      <c r="AI8" s="58">
        <f>IF($C8="","",VLOOKUP($C8,CTBat!$G$10:$BR$208,AI$4,FALSE))</f>
        <v>6</v>
      </c>
      <c r="AJ8" s="38">
        <f>IF($C8="","",VLOOKUP($C8,CTBat!$G$10:$BR$208,AJ$4,FALSE))</f>
        <v>9</v>
      </c>
      <c r="AK8" s="67">
        <f t="shared" si="13"/>
        <v>5.541666666666667</v>
      </c>
      <c r="AL8" s="53">
        <f t="shared" si="14"/>
        <v>0</v>
      </c>
      <c r="AM8" s="288">
        <f t="shared" si="15"/>
        <v>0</v>
      </c>
      <c r="AN8" s="288">
        <f t="shared" si="16"/>
        <v>0</v>
      </c>
      <c r="AO8" s="288">
        <f t="shared" si="17"/>
        <v>0</v>
      </c>
      <c r="AP8" s="288">
        <f t="shared" si="18"/>
        <v>0</v>
      </c>
      <c r="AQ8" s="288">
        <f t="shared" si="19"/>
        <v>0</v>
      </c>
      <c r="AR8" s="288">
        <f t="shared" si="20"/>
        <v>0</v>
      </c>
      <c r="AS8" s="288">
        <f t="shared" si="21"/>
        <v>1</v>
      </c>
      <c r="AT8" s="289">
        <f t="shared" si="22"/>
        <v>1</v>
      </c>
      <c r="AU8" s="58">
        <f>IF($C8="","",VLOOKUP($C8,CTBat!$G$10:$BR$208,AU$4,FALSE))</f>
        <v>6</v>
      </c>
      <c r="AV8" s="37">
        <f>IF($C8="","",VLOOKUP($C8,CTBat!$G$10:$BR$208,AV$4,FALSE))</f>
        <v>7</v>
      </c>
      <c r="AW8" s="37">
        <f>IF($C8="","",VLOOKUP($C8,CTBat!$G$10:$BR$208,AW$4,FALSE))</f>
        <v>5</v>
      </c>
      <c r="AX8" s="37">
        <f>IF($C8="","",VLOOKUP($C8,CTBat!$G$10:$BR$208,AX$4,FALSE))</f>
        <v>5</v>
      </c>
      <c r="AY8" s="38">
        <f>IF($C8="","",VLOOKUP($C8,CTBat!$G$10:$BR$208,AY$4,FALSE))</f>
        <v>5</v>
      </c>
      <c r="AZ8" s="67">
        <f t="shared" si="23"/>
        <v>5.6111111111111107</v>
      </c>
    </row>
    <row r="9" spans="1:52">
      <c r="A9">
        <v>4</v>
      </c>
      <c r="B9" s="36" t="s">
        <v>103</v>
      </c>
      <c r="C9" s="65" t="s">
        <v>250</v>
      </c>
      <c r="D9" s="37">
        <f>IF($C9="","",VLOOKUP($C9,CTBat!$G$10:$BR$208,D$4,FALSE))</f>
        <v>26</v>
      </c>
      <c r="E9" s="37" t="str">
        <f>IF($C9="","",VLOOKUP($C9,CTBat!$G$10:$BR$208,E$4,FALSE))</f>
        <v>R</v>
      </c>
      <c r="F9" s="53">
        <f t="shared" si="3"/>
        <v>0</v>
      </c>
      <c r="G9" s="288">
        <f t="shared" si="4"/>
        <v>0</v>
      </c>
      <c r="H9" s="288">
        <f t="shared" si="5"/>
        <v>1</v>
      </c>
      <c r="I9" s="288">
        <f t="shared" si="0"/>
        <v>0</v>
      </c>
      <c r="J9" s="58">
        <f>IF($C9="","",VLOOKUP($C9,CTBat!$G$10:$BR$208,J$4,FALSE))</f>
        <v>1</v>
      </c>
      <c r="K9" s="37">
        <f>IF($C9="","",VLOOKUP($C9,CTBat!$G$10:$BR$208,K$4,FALSE))</f>
        <v>1</v>
      </c>
      <c r="L9" s="38">
        <f>IF($C9="","",VLOOKUP($C9,CTBat!$G$10:$BR$208,L$4,FALSE))</f>
        <v>9</v>
      </c>
      <c r="M9" s="37" t="str">
        <f>IF($C9="","",VLOOKUP($C9,CTBat!$G$10:$BR$208,M$4,FALSE))</f>
        <v>-</v>
      </c>
      <c r="N9" s="37" t="str">
        <f>IF($C9="","",VLOOKUP($C9,CTBat!$G$10:$BR$208,N$4,FALSE))</f>
        <v>-</v>
      </c>
      <c r="O9" s="37" t="str">
        <f>IF($C9="","",VLOOKUP($C9,CTBat!$G$10:$BR$208,O$4,FALSE))</f>
        <v>-</v>
      </c>
      <c r="P9" s="37" t="str">
        <f>IF($C9="","",VLOOKUP($C9,CTBat!$G$10:$BR$208,P$4,FALSE))</f>
        <v>-</v>
      </c>
      <c r="Q9" s="37" t="str">
        <f>IF($C9="","",VLOOKUP($C9,CTBat!$G$10:$BR$208,Q$4,FALSE))</f>
        <v>-</v>
      </c>
      <c r="R9" s="37">
        <f>IF($C9="","",VLOOKUP($C9,CTBat!$G$10:$BR$208,R$4,FALSE))</f>
        <v>9</v>
      </c>
      <c r="S9" s="37">
        <f>IF($C9="","",VLOOKUP($C9,CTBat!$G$10:$BR$208,S$4,FALSE))</f>
        <v>3</v>
      </c>
      <c r="T9" s="38">
        <f>IF($C9="","",VLOOKUP($C9,CTBat!$G$10:$BR$208,T$4,FALSE))</f>
        <v>8</v>
      </c>
      <c r="U9" s="53">
        <f t="shared" si="1"/>
        <v>0</v>
      </c>
      <c r="V9" s="288">
        <f t="shared" si="2"/>
        <v>0</v>
      </c>
      <c r="W9" s="288">
        <f t="shared" si="6"/>
        <v>0</v>
      </c>
      <c r="X9" s="288">
        <f t="shared" si="7"/>
        <v>0</v>
      </c>
      <c r="Y9" s="288">
        <f t="shared" si="8"/>
        <v>0</v>
      </c>
      <c r="Z9" s="288">
        <f t="shared" si="9"/>
        <v>0</v>
      </c>
      <c r="AA9" s="288">
        <f t="shared" si="10"/>
        <v>0</v>
      </c>
      <c r="AB9" s="288">
        <f t="shared" si="11"/>
        <v>0</v>
      </c>
      <c r="AC9" s="289">
        <f t="shared" si="12"/>
        <v>0</v>
      </c>
      <c r="AD9" s="37">
        <f>IF($C9="","",VLOOKUP($C9,CTBat!$G$10:$BR$208,AD$4,FALSE))</f>
        <v>5</v>
      </c>
      <c r="AE9" s="37">
        <f>IF($C9="","",VLOOKUP($C9,CTBat!$G$10:$BR$208,AE$4,FALSE))</f>
        <v>5</v>
      </c>
      <c r="AF9" s="37">
        <f>IF($C9="","",VLOOKUP($C9,CTBat!$G$10:$BR$208,AF$4,FALSE))</f>
        <v>4</v>
      </c>
      <c r="AG9" s="37">
        <f>IF($C9="","",VLOOKUP($C9,CTBat!$G$10:$BR$208,AG$4,FALSE))</f>
        <v>5</v>
      </c>
      <c r="AH9" s="37">
        <f>IF($C9="","",VLOOKUP($C9,CTBat!$G$10:$BR$208,AH$4,FALSE))</f>
        <v>5</v>
      </c>
      <c r="AI9" s="58">
        <f>IF($C9="","",VLOOKUP($C9,CTBat!$G$10:$BR$208,AI$4,FALSE))</f>
        <v>5</v>
      </c>
      <c r="AJ9" s="38">
        <f>IF($C9="","",VLOOKUP($C9,CTBat!$G$10:$BR$208,AJ$4,FALSE))</f>
        <v>6</v>
      </c>
      <c r="AK9" s="67">
        <f t="shared" si="13"/>
        <v>4.75</v>
      </c>
      <c r="AL9" s="53">
        <f t="shared" si="14"/>
        <v>0</v>
      </c>
      <c r="AM9" s="288">
        <f t="shared" si="15"/>
        <v>0</v>
      </c>
      <c r="AN9" s="288">
        <f t="shared" si="16"/>
        <v>0</v>
      </c>
      <c r="AO9" s="288">
        <f t="shared" si="17"/>
        <v>0</v>
      </c>
      <c r="AP9" s="288">
        <f t="shared" si="18"/>
        <v>0</v>
      </c>
      <c r="AQ9" s="288">
        <f t="shared" si="19"/>
        <v>0</v>
      </c>
      <c r="AR9" s="288">
        <f t="shared" si="20"/>
        <v>0</v>
      </c>
      <c r="AS9" s="288">
        <f t="shared" si="21"/>
        <v>0</v>
      </c>
      <c r="AT9" s="289">
        <f t="shared" si="22"/>
        <v>0</v>
      </c>
      <c r="AU9" s="58">
        <f>IF($C9="","",VLOOKUP($C9,CTBat!$G$10:$BR$208,AU$4,FALSE))</f>
        <v>5</v>
      </c>
      <c r="AV9" s="37">
        <f>IF($C9="","",VLOOKUP($C9,CTBat!$G$10:$BR$208,AV$4,FALSE))</f>
        <v>5</v>
      </c>
      <c r="AW9" s="37">
        <f>IF($C9="","",VLOOKUP($C9,CTBat!$G$10:$BR$208,AW$4,FALSE))</f>
        <v>4</v>
      </c>
      <c r="AX9" s="37">
        <f>IF($C9="","",VLOOKUP($C9,CTBat!$G$10:$BR$208,AX$4,FALSE))</f>
        <v>6</v>
      </c>
      <c r="AY9" s="38">
        <f>IF($C9="","",VLOOKUP($C9,CTBat!$G$10:$BR$208,AY$4,FALSE))</f>
        <v>5</v>
      </c>
      <c r="AZ9" s="67">
        <f t="shared" si="23"/>
        <v>4.9444444444444446</v>
      </c>
    </row>
    <row r="10" spans="1:52">
      <c r="A10">
        <v>5</v>
      </c>
      <c r="B10" s="36" t="s">
        <v>18</v>
      </c>
      <c r="C10" s="65" t="s">
        <v>571</v>
      </c>
      <c r="D10" s="37">
        <f>IF($C10="","",VLOOKUP($C10,CTBat!$G$10:$BR$208,D$4,FALSE))</f>
        <v>29</v>
      </c>
      <c r="E10" s="37" t="str">
        <f>IF($C10="","",VLOOKUP($C10,CTBat!$G$10:$BR$208,E$4,FALSE))</f>
        <v>R</v>
      </c>
      <c r="F10" s="53">
        <f t="shared" si="3"/>
        <v>0</v>
      </c>
      <c r="G10" s="288">
        <f t="shared" si="4"/>
        <v>0</v>
      </c>
      <c r="H10" s="288">
        <f t="shared" si="5"/>
        <v>0</v>
      </c>
      <c r="I10" s="288">
        <f t="shared" si="0"/>
        <v>0</v>
      </c>
      <c r="J10" s="58">
        <f>IF($C10="","",VLOOKUP($C10,CTBat!$G$10:$BR$208,J$4,FALSE))</f>
        <v>1</v>
      </c>
      <c r="K10" s="37">
        <f>IF($C10="","",VLOOKUP($C10,CTBat!$G$10:$BR$208,K$4,FALSE))</f>
        <v>1</v>
      </c>
      <c r="L10" s="38">
        <f>IF($C10="","",VLOOKUP($C10,CTBat!$G$10:$BR$208,L$4,FALSE))</f>
        <v>6</v>
      </c>
      <c r="M10" s="37" t="str">
        <f>IF($C10="","",VLOOKUP($C10,CTBat!$G$10:$BR$208,M$4,FALSE))</f>
        <v>-</v>
      </c>
      <c r="N10" s="37" t="str">
        <f>IF($C10="","",VLOOKUP($C10,CTBat!$G$10:$BR$208,N$4,FALSE))</f>
        <v>-</v>
      </c>
      <c r="O10" s="37" t="str">
        <f>IF($C10="","",VLOOKUP($C10,CTBat!$G$10:$BR$208,O$4,FALSE))</f>
        <v>-</v>
      </c>
      <c r="P10" s="37" t="str">
        <f>IF($C10="","",VLOOKUP($C10,CTBat!$G$10:$BR$208,P$4,FALSE))</f>
        <v>-</v>
      </c>
      <c r="Q10" s="37" t="str">
        <f>IF($C10="","",VLOOKUP($C10,CTBat!$G$10:$BR$208,Q$4,FALSE))</f>
        <v>-</v>
      </c>
      <c r="R10" s="37">
        <f>IF($C10="","",VLOOKUP($C10,CTBat!$G$10:$BR$208,R$4,FALSE))</f>
        <v>5</v>
      </c>
      <c r="S10" s="37" t="str">
        <f>IF($C10="","",VLOOKUP($C10,CTBat!$G$10:$BR$208,S$4,FALSE))</f>
        <v>-</v>
      </c>
      <c r="T10" s="38">
        <f>IF($C10="","",VLOOKUP($C10,CTBat!$G$10:$BR$208,T$4,FALSE))</f>
        <v>4</v>
      </c>
      <c r="U10" s="53">
        <f t="shared" si="1"/>
        <v>0</v>
      </c>
      <c r="V10" s="288">
        <f t="shared" si="2"/>
        <v>1</v>
      </c>
      <c r="W10" s="288">
        <f t="shared" si="6"/>
        <v>0</v>
      </c>
      <c r="X10" s="288">
        <f t="shared" si="7"/>
        <v>0</v>
      </c>
      <c r="Y10" s="288">
        <f t="shared" si="8"/>
        <v>0</v>
      </c>
      <c r="Z10" s="288">
        <f t="shared" si="9"/>
        <v>0</v>
      </c>
      <c r="AA10" s="288">
        <f t="shared" si="10"/>
        <v>1</v>
      </c>
      <c r="AB10" s="288">
        <f t="shared" si="11"/>
        <v>1</v>
      </c>
      <c r="AC10" s="289">
        <f t="shared" si="12"/>
        <v>1</v>
      </c>
      <c r="AD10" s="37">
        <f>IF($C10="","",VLOOKUP($C10,CTBat!$G$10:$BR$208,AD$4,FALSE))</f>
        <v>6</v>
      </c>
      <c r="AE10" s="37">
        <f>IF($C10="","",VLOOKUP($C10,CTBat!$G$10:$BR$208,AE$4,FALSE))</f>
        <v>9</v>
      </c>
      <c r="AF10" s="37">
        <f>IF($C10="","",VLOOKUP($C10,CTBat!$G$10:$BR$208,AF$4,FALSE))</f>
        <v>6</v>
      </c>
      <c r="AG10" s="37">
        <f>IF($C10="","",VLOOKUP($C10,CTBat!$G$10:$BR$208,AG$4,FALSE))</f>
        <v>7</v>
      </c>
      <c r="AH10" s="37">
        <f>IF($C10="","",VLOOKUP($C10,CTBat!$G$10:$BR$208,AH$4,FALSE))</f>
        <v>4</v>
      </c>
      <c r="AI10" s="58">
        <f>IF($C10="","",VLOOKUP($C10,CTBat!$G$10:$BR$208,AI$4,FALSE))</f>
        <v>4</v>
      </c>
      <c r="AJ10" s="38">
        <f>IF($C10="","",VLOOKUP($C10,CTBat!$G$10:$BR$208,AJ$4,FALSE))</f>
        <v>5</v>
      </c>
      <c r="AK10" s="67">
        <f t="shared" si="13"/>
        <v>6.4305555555555554</v>
      </c>
      <c r="AL10" s="53">
        <f t="shared" si="14"/>
        <v>0</v>
      </c>
      <c r="AM10" s="288">
        <f t="shared" si="15"/>
        <v>1</v>
      </c>
      <c r="AN10" s="288">
        <f t="shared" si="16"/>
        <v>0</v>
      </c>
      <c r="AO10" s="288">
        <f t="shared" si="17"/>
        <v>0</v>
      </c>
      <c r="AP10" s="288">
        <f t="shared" si="18"/>
        <v>0</v>
      </c>
      <c r="AQ10" s="288">
        <f t="shared" si="19"/>
        <v>0</v>
      </c>
      <c r="AR10" s="288">
        <f t="shared" si="20"/>
        <v>1</v>
      </c>
      <c r="AS10" s="288">
        <f t="shared" si="21"/>
        <v>1</v>
      </c>
      <c r="AT10" s="289">
        <f t="shared" si="22"/>
        <v>1</v>
      </c>
      <c r="AU10" s="58">
        <f>IF($C10="","",VLOOKUP($C10,CTBat!$G$10:$BR$208,AU$4,FALSE))</f>
        <v>6</v>
      </c>
      <c r="AV10" s="37">
        <f>IF($C10="","",VLOOKUP($C10,CTBat!$G$10:$BR$208,AV$4,FALSE))</f>
        <v>9</v>
      </c>
      <c r="AW10" s="37">
        <f>IF($C10="","",VLOOKUP($C10,CTBat!$G$10:$BR$208,AW$4,FALSE))</f>
        <v>6</v>
      </c>
      <c r="AX10" s="37">
        <f>IF($C10="","",VLOOKUP($C10,CTBat!$G$10:$BR$208,AX$4,FALSE))</f>
        <v>7</v>
      </c>
      <c r="AY10" s="38">
        <f>IF($C10="","",VLOOKUP($C10,CTBat!$G$10:$BR$208,AY$4,FALSE))</f>
        <v>4</v>
      </c>
      <c r="AZ10" s="67">
        <f t="shared" si="23"/>
        <v>6.4305555555555554</v>
      </c>
    </row>
    <row r="11" spans="1:52">
      <c r="A11">
        <v>6</v>
      </c>
      <c r="B11" s="36" t="s">
        <v>104</v>
      </c>
      <c r="C11" s="65" t="s">
        <v>567</v>
      </c>
      <c r="D11" s="37">
        <f>IF($C11="","",VLOOKUP($C11,CTBat!$G$10:$BR$208,D$4,FALSE))</f>
        <v>29</v>
      </c>
      <c r="E11" s="37" t="str">
        <f>IF($C11="","",VLOOKUP($C11,CTBat!$G$10:$BR$208,E$4,FALSE))</f>
        <v>R</v>
      </c>
      <c r="F11" s="53">
        <f t="shared" si="3"/>
        <v>0</v>
      </c>
      <c r="G11" s="288">
        <f t="shared" si="4"/>
        <v>0</v>
      </c>
      <c r="H11" s="288">
        <f t="shared" si="5"/>
        <v>0</v>
      </c>
      <c r="I11" s="288">
        <f>IF($C11="","",IF(AND(S11&gt;4,S11&lt;&gt;"-"),1,0))</f>
        <v>0</v>
      </c>
      <c r="J11" s="58">
        <f>IF($C11="","",VLOOKUP($C11,CTBat!$G$10:$BR$208,J$4,FALSE))</f>
        <v>1</v>
      </c>
      <c r="K11" s="37">
        <f>IF($C11="","",VLOOKUP($C11,CTBat!$G$10:$BR$208,K$4,FALSE))</f>
        <v>7</v>
      </c>
      <c r="L11" s="38">
        <f>IF($C11="","",VLOOKUP($C11,CTBat!$G$10:$BR$208,L$4,FALSE))</f>
        <v>1</v>
      </c>
      <c r="M11" s="37" t="str">
        <f>IF($C11="","",VLOOKUP($C11,CTBat!$G$10:$BR$208,M$4,FALSE))</f>
        <v>-</v>
      </c>
      <c r="N11" s="37">
        <f>IF($C11="","",VLOOKUP($C11,CTBat!$G$10:$BR$208,N$4,FALSE))</f>
        <v>10</v>
      </c>
      <c r="O11" s="37">
        <f>IF($C11="","",VLOOKUP($C11,CTBat!$G$10:$BR$208,O$4,FALSE))</f>
        <v>5</v>
      </c>
      <c r="P11" s="37">
        <f>IF($C11="","",VLOOKUP($C11,CTBat!$G$10:$BR$208,P$4,FALSE))</f>
        <v>6</v>
      </c>
      <c r="Q11" s="37">
        <f>IF($C11="","",VLOOKUP($C11,CTBat!$G$10:$BR$208,Q$4,FALSE))</f>
        <v>4</v>
      </c>
      <c r="R11" s="37" t="str">
        <f>IF($C11="","",VLOOKUP($C11,CTBat!$G$10:$BR$208,R$4,FALSE))</f>
        <v>-</v>
      </c>
      <c r="S11" s="37" t="str">
        <f>IF($C11="","",VLOOKUP($C11,CTBat!$G$10:$BR$208,S$4,FALSE))</f>
        <v>-</v>
      </c>
      <c r="T11" s="38" t="str">
        <f>IF($C11="","",VLOOKUP($C11,CTBat!$G$10:$BR$208,T$4,FALSE))</f>
        <v>-</v>
      </c>
      <c r="U11" s="53">
        <f t="shared" si="1"/>
        <v>0</v>
      </c>
      <c r="V11" s="288">
        <f t="shared" si="2"/>
        <v>0</v>
      </c>
      <c r="W11" s="288">
        <f t="shared" si="6"/>
        <v>0</v>
      </c>
      <c r="X11" s="288">
        <f t="shared" si="7"/>
        <v>0</v>
      </c>
      <c r="Y11" s="288">
        <f t="shared" si="8"/>
        <v>0</v>
      </c>
      <c r="Z11" s="288">
        <f t="shared" si="9"/>
        <v>0</v>
      </c>
      <c r="AA11" s="288">
        <f t="shared" si="10"/>
        <v>1</v>
      </c>
      <c r="AB11" s="288">
        <f t="shared" si="11"/>
        <v>1</v>
      </c>
      <c r="AC11" s="289">
        <f t="shared" si="12"/>
        <v>1</v>
      </c>
      <c r="AD11" s="37">
        <f>IF($C11="","",VLOOKUP($C11,CTBat!$G$10:$BR$208,AD$4,FALSE))</f>
        <v>5</v>
      </c>
      <c r="AE11" s="37">
        <f>IF($C11="","",VLOOKUP($C11,CTBat!$G$10:$BR$208,AE$4,FALSE))</f>
        <v>7</v>
      </c>
      <c r="AF11" s="37">
        <f>IF($C11="","",VLOOKUP($C11,CTBat!$G$10:$BR$208,AF$4,FALSE))</f>
        <v>7</v>
      </c>
      <c r="AG11" s="37">
        <f>IF($C11="","",VLOOKUP($C11,CTBat!$G$10:$BR$208,AG$4,FALSE))</f>
        <v>6</v>
      </c>
      <c r="AH11" s="37">
        <f>IF($C11="","",VLOOKUP($C11,CTBat!$G$10:$BR$208,AH$4,FALSE))</f>
        <v>3</v>
      </c>
      <c r="AI11" s="58">
        <f>IF($C11="","",VLOOKUP($C11,CTBat!$G$10:$BR$208,AI$4,FALSE))</f>
        <v>5</v>
      </c>
      <c r="AJ11" s="38">
        <f>IF($C11="","",VLOOKUP($C11,CTBat!$G$10:$BR$208,AJ$4,FALSE))</f>
        <v>6</v>
      </c>
      <c r="AK11" s="67">
        <f t="shared" si="13"/>
        <v>5.8055555555555554</v>
      </c>
      <c r="AL11" s="53">
        <f t="shared" si="14"/>
        <v>0</v>
      </c>
      <c r="AM11" s="288">
        <f t="shared" si="15"/>
        <v>0</v>
      </c>
      <c r="AN11" s="288">
        <f t="shared" si="16"/>
        <v>0</v>
      </c>
      <c r="AO11" s="288">
        <f t="shared" si="17"/>
        <v>0</v>
      </c>
      <c r="AP11" s="288">
        <f t="shared" si="18"/>
        <v>0</v>
      </c>
      <c r="AQ11" s="288">
        <f t="shared" si="19"/>
        <v>0</v>
      </c>
      <c r="AR11" s="288">
        <f t="shared" si="20"/>
        <v>1</v>
      </c>
      <c r="AS11" s="288">
        <f t="shared" si="21"/>
        <v>1</v>
      </c>
      <c r="AT11" s="289">
        <f t="shared" si="22"/>
        <v>1</v>
      </c>
      <c r="AU11" s="58">
        <f>IF($C11="","",VLOOKUP($C11,CTBat!$G$10:$BR$208,AU$4,FALSE))</f>
        <v>5</v>
      </c>
      <c r="AV11" s="37">
        <f>IF($C11="","",VLOOKUP($C11,CTBat!$G$10:$BR$208,AV$4,FALSE))</f>
        <v>7</v>
      </c>
      <c r="AW11" s="37">
        <f>IF($C11="","",VLOOKUP($C11,CTBat!$G$10:$BR$208,AW$4,FALSE))</f>
        <v>7</v>
      </c>
      <c r="AX11" s="37">
        <f>IF($C11="","",VLOOKUP($C11,CTBat!$G$10:$BR$208,AX$4,FALSE))</f>
        <v>6</v>
      </c>
      <c r="AY11" s="38">
        <f>IF($C11="","",VLOOKUP($C11,CTBat!$G$10:$BR$208,AY$4,FALSE))</f>
        <v>3</v>
      </c>
      <c r="AZ11" s="67">
        <f t="shared" si="23"/>
        <v>5.8055555555555554</v>
      </c>
    </row>
    <row r="12" spans="1:52">
      <c r="A12">
        <v>7</v>
      </c>
      <c r="B12" s="36" t="s">
        <v>104</v>
      </c>
      <c r="C12" s="65" t="s">
        <v>405</v>
      </c>
      <c r="D12" s="37">
        <f>IF($C12="","",VLOOKUP($C12,CTBat!$G$10:$BR$208,D$4,FALSE))</f>
        <v>24</v>
      </c>
      <c r="E12" s="37" t="str">
        <f>IF($C12="","",VLOOKUP($C12,CTBat!$G$10:$BR$208,E$4,FALSE))</f>
        <v>R</v>
      </c>
      <c r="F12" s="53">
        <f t="shared" si="3"/>
        <v>0</v>
      </c>
      <c r="G12" s="288">
        <f t="shared" si="4"/>
        <v>0</v>
      </c>
      <c r="H12" s="288">
        <f t="shared" si="5"/>
        <v>1</v>
      </c>
      <c r="I12" s="288">
        <f t="shared" ref="I12:I17" si="24">IF($C12="","",IF(AND(S12&gt;4,S12&lt;&gt;"-"),1,0))</f>
        <v>1</v>
      </c>
      <c r="J12" s="58">
        <f>IF($C12="","",VLOOKUP($C12,CTBat!$G$10:$BR$208,J$4,FALSE))</f>
        <v>1</v>
      </c>
      <c r="K12" s="37">
        <f>IF($C12="","",VLOOKUP($C12,CTBat!$G$10:$BR$208,K$4,FALSE))</f>
        <v>1</v>
      </c>
      <c r="L12" s="38">
        <f>IF($C12="","",VLOOKUP($C12,CTBat!$G$10:$BR$208,L$4,FALSE))</f>
        <v>7</v>
      </c>
      <c r="M12" s="37" t="str">
        <f>IF($C12="","",VLOOKUP($C12,CTBat!$G$10:$BR$208,M$4,FALSE))</f>
        <v>-</v>
      </c>
      <c r="N12" s="37">
        <f>IF($C12="","",VLOOKUP($C12,CTBat!$G$10:$BR$208,N$4,FALSE))</f>
        <v>1</v>
      </c>
      <c r="O12" s="37" t="str">
        <f>IF($C12="","",VLOOKUP($C12,CTBat!$G$10:$BR$208,O$4,FALSE))</f>
        <v>-</v>
      </c>
      <c r="P12" s="37" t="str">
        <f>IF($C12="","",VLOOKUP($C12,CTBat!$G$10:$BR$208,P$4,FALSE))</f>
        <v>-</v>
      </c>
      <c r="Q12" s="37" t="str">
        <f>IF($C12="","",VLOOKUP($C12,CTBat!$G$10:$BR$208,Q$4,FALSE))</f>
        <v>-</v>
      </c>
      <c r="R12" s="37">
        <f>IF($C12="","",VLOOKUP($C12,CTBat!$G$10:$BR$208,R$4,FALSE))</f>
        <v>10</v>
      </c>
      <c r="S12" s="37">
        <f>IF($C12="","",VLOOKUP($C12,CTBat!$G$10:$BR$208,S$4,FALSE))</f>
        <v>7</v>
      </c>
      <c r="T12" s="38">
        <f>IF($C12="","",VLOOKUP($C12,CTBat!$G$10:$BR$208,T$4,FALSE))</f>
        <v>9</v>
      </c>
      <c r="U12" s="53">
        <f t="shared" si="1"/>
        <v>0</v>
      </c>
      <c r="V12" s="288">
        <f t="shared" si="2"/>
        <v>0</v>
      </c>
      <c r="W12" s="288">
        <f t="shared" si="6"/>
        <v>0</v>
      </c>
      <c r="X12" s="288">
        <f t="shared" si="7"/>
        <v>0</v>
      </c>
      <c r="Y12" s="288">
        <f t="shared" si="8"/>
        <v>0</v>
      </c>
      <c r="Z12" s="288">
        <f t="shared" si="9"/>
        <v>0</v>
      </c>
      <c r="AA12" s="288">
        <f t="shared" si="10"/>
        <v>0</v>
      </c>
      <c r="AB12" s="288">
        <f t="shared" si="11"/>
        <v>0</v>
      </c>
      <c r="AC12" s="289">
        <f t="shared" si="12"/>
        <v>0</v>
      </c>
      <c r="AD12" s="37">
        <f>IF($C12="","",VLOOKUP($C12,CTBat!$G$10:$BR$208,AD$4,FALSE))</f>
        <v>4</v>
      </c>
      <c r="AE12" s="37">
        <f>IF($C12="","",VLOOKUP($C12,CTBat!$G$10:$BR$208,AE$4,FALSE))</f>
        <v>6</v>
      </c>
      <c r="AF12" s="37">
        <f>IF($C12="","",VLOOKUP($C12,CTBat!$G$10:$BR$208,AF$4,FALSE))</f>
        <v>4</v>
      </c>
      <c r="AG12" s="37">
        <f>IF($C12="","",VLOOKUP($C12,CTBat!$G$10:$BR$208,AG$4,FALSE))</f>
        <v>4</v>
      </c>
      <c r="AH12" s="37">
        <f>IF($C12="","",VLOOKUP($C12,CTBat!$G$10:$BR$208,AH$4,FALSE))</f>
        <v>3</v>
      </c>
      <c r="AI12" s="58">
        <f>IF($C12="","",VLOOKUP($C12,CTBat!$G$10:$BR$208,AI$4,FALSE))</f>
        <v>5</v>
      </c>
      <c r="AJ12" s="38">
        <f>IF($C12="","",VLOOKUP($C12,CTBat!$G$10:$BR$208,AJ$4,FALSE))</f>
        <v>8</v>
      </c>
      <c r="AK12" s="67">
        <f t="shared" si="13"/>
        <v>4.1805555555555554</v>
      </c>
      <c r="AL12" s="53">
        <f t="shared" si="14"/>
        <v>0</v>
      </c>
      <c r="AM12" s="288">
        <f t="shared" si="15"/>
        <v>0</v>
      </c>
      <c r="AN12" s="288">
        <f t="shared" si="16"/>
        <v>0</v>
      </c>
      <c r="AO12" s="288">
        <f t="shared" si="17"/>
        <v>0</v>
      </c>
      <c r="AP12" s="288">
        <f t="shared" si="18"/>
        <v>0</v>
      </c>
      <c r="AQ12" s="288">
        <f t="shared" si="19"/>
        <v>0</v>
      </c>
      <c r="AR12" s="288">
        <f t="shared" si="20"/>
        <v>0</v>
      </c>
      <c r="AS12" s="288">
        <f t="shared" si="21"/>
        <v>0</v>
      </c>
      <c r="AT12" s="289">
        <f t="shared" si="22"/>
        <v>0</v>
      </c>
      <c r="AU12" s="58">
        <f>IF($C12="","",VLOOKUP($C12,CTBat!$G$10:$BR$208,AU$4,FALSE))</f>
        <v>4</v>
      </c>
      <c r="AV12" s="37">
        <f>IF($C12="","",VLOOKUP($C12,CTBat!$G$10:$BR$208,AV$4,FALSE))</f>
        <v>6</v>
      </c>
      <c r="AW12" s="37">
        <f>IF($C12="","",VLOOKUP($C12,CTBat!$G$10:$BR$208,AW$4,FALSE))</f>
        <v>5</v>
      </c>
      <c r="AX12" s="37">
        <f>IF($C12="","",VLOOKUP($C12,CTBat!$G$10:$BR$208,AX$4,FALSE))</f>
        <v>5</v>
      </c>
      <c r="AY12" s="38">
        <f>IF($C12="","",VLOOKUP($C12,CTBat!$G$10:$BR$208,AY$4,FALSE))</f>
        <v>4</v>
      </c>
      <c r="AZ12" s="67">
        <f t="shared" si="23"/>
        <v>4.6944444444444446</v>
      </c>
    </row>
    <row r="13" spans="1:52">
      <c r="A13">
        <v>8</v>
      </c>
      <c r="B13" s="36" t="s">
        <v>104</v>
      </c>
      <c r="C13" s="65"/>
      <c r="D13" s="37" t="str">
        <f>IF($C13="","",VLOOKUP($C13,CTBat!$G$10:$BR$208,D$4,FALSE))</f>
        <v/>
      </c>
      <c r="E13" s="37" t="str">
        <f>IF($C13="","",VLOOKUP($C13,CTBat!$G$10:$BR$208,E$4,FALSE))</f>
        <v/>
      </c>
      <c r="F13" s="53" t="str">
        <f t="shared" si="3"/>
        <v/>
      </c>
      <c r="G13" s="288" t="str">
        <f t="shared" si="4"/>
        <v/>
      </c>
      <c r="H13" s="288" t="str">
        <f t="shared" si="5"/>
        <v/>
      </c>
      <c r="I13" s="288" t="str">
        <f t="shared" si="24"/>
        <v/>
      </c>
      <c r="J13" s="58" t="str">
        <f>IF($C13="","",VLOOKUP($C13,CTBat!$G$10:$BR$208,J$4,FALSE))</f>
        <v/>
      </c>
      <c r="K13" s="37" t="str">
        <f>IF($C13="","",VLOOKUP($C13,CTBat!$G$10:$BR$208,K$4,FALSE))</f>
        <v/>
      </c>
      <c r="L13" s="38" t="str">
        <f>IF($C13="","",VLOOKUP($C13,CTBat!$G$10:$BR$208,L$4,FALSE))</f>
        <v/>
      </c>
      <c r="M13" s="37" t="str">
        <f>IF($C13="","",VLOOKUP($C13,CTBat!$G$10:$BR$208,M$4,FALSE))</f>
        <v/>
      </c>
      <c r="N13" s="37" t="str">
        <f>IF($C13="","",VLOOKUP($C13,CTBat!$G$10:$BR$208,N$4,FALSE))</f>
        <v/>
      </c>
      <c r="O13" s="37" t="str">
        <f>IF($C13="","",VLOOKUP($C13,CTBat!$G$10:$BR$208,O$4,FALSE))</f>
        <v/>
      </c>
      <c r="P13" s="37" t="str">
        <f>IF($C13="","",VLOOKUP($C13,CTBat!$G$10:$BR$208,P$4,FALSE))</f>
        <v/>
      </c>
      <c r="Q13" s="37" t="str">
        <f>IF($C13="","",VLOOKUP($C13,CTBat!$G$10:$BR$208,Q$4,FALSE))</f>
        <v/>
      </c>
      <c r="R13" s="37" t="str">
        <f>IF($C13="","",VLOOKUP($C13,CTBat!$G$10:$BR$208,R$4,FALSE))</f>
        <v/>
      </c>
      <c r="S13" s="37" t="str">
        <f>IF($C13="","",VLOOKUP($C13,CTBat!$G$10:$BR$208,S$4,FALSE))</f>
        <v/>
      </c>
      <c r="T13" s="38" t="str">
        <f>IF($C13="","",VLOOKUP($C13,CTBat!$G$10:$BR$208,T$4,FALSE))</f>
        <v/>
      </c>
      <c r="U13" s="53" t="str">
        <f t="shared" si="1"/>
        <v/>
      </c>
      <c r="V13" s="288" t="str">
        <f t="shared" si="2"/>
        <v/>
      </c>
      <c r="W13" s="288" t="str">
        <f t="shared" si="6"/>
        <v/>
      </c>
      <c r="X13" s="288" t="str">
        <f t="shared" si="7"/>
        <v/>
      </c>
      <c r="Y13" s="288" t="str">
        <f t="shared" si="8"/>
        <v/>
      </c>
      <c r="Z13" s="288" t="str">
        <f t="shared" si="9"/>
        <v/>
      </c>
      <c r="AA13" s="288" t="str">
        <f t="shared" si="10"/>
        <v/>
      </c>
      <c r="AB13" s="288" t="str">
        <f t="shared" si="11"/>
        <v/>
      </c>
      <c r="AC13" s="289" t="str">
        <f t="shared" si="12"/>
        <v/>
      </c>
      <c r="AD13" s="37" t="str">
        <f>IF($C13="","",VLOOKUP($C13,CTBat!$G$10:$BR$208,AD$4,FALSE))</f>
        <v/>
      </c>
      <c r="AE13" s="37" t="str">
        <f>IF($C13="","",VLOOKUP($C13,CTBat!$G$10:$BR$208,AE$4,FALSE))</f>
        <v/>
      </c>
      <c r="AF13" s="37" t="str">
        <f>IF($C13="","",VLOOKUP($C13,CTBat!$G$10:$BR$208,AF$4,FALSE))</f>
        <v/>
      </c>
      <c r="AG13" s="37" t="str">
        <f>IF($C13="","",VLOOKUP($C13,CTBat!$G$10:$BR$208,AG$4,FALSE))</f>
        <v/>
      </c>
      <c r="AH13" s="37" t="str">
        <f>IF($C13="","",VLOOKUP($C13,CTBat!$G$10:$BR$208,AH$4,FALSE))</f>
        <v/>
      </c>
      <c r="AI13" s="58" t="str">
        <f>IF($C13="","",VLOOKUP($C13,CTBat!$G$10:$BR$208,AI$4,FALSE))</f>
        <v/>
      </c>
      <c r="AJ13" s="38" t="str">
        <f>IF($C13="","",VLOOKUP($C13,CTBat!$G$10:$BR$208,AJ$4,FALSE))</f>
        <v/>
      </c>
      <c r="AK13" s="67" t="str">
        <f t="shared" si="13"/>
        <v/>
      </c>
      <c r="AL13" s="53" t="str">
        <f t="shared" si="14"/>
        <v/>
      </c>
      <c r="AM13" s="288" t="str">
        <f t="shared" si="15"/>
        <v/>
      </c>
      <c r="AN13" s="288" t="str">
        <f t="shared" si="16"/>
        <v/>
      </c>
      <c r="AO13" s="288" t="str">
        <f t="shared" si="17"/>
        <v/>
      </c>
      <c r="AP13" s="288" t="str">
        <f t="shared" si="18"/>
        <v/>
      </c>
      <c r="AQ13" s="288" t="str">
        <f t="shared" si="19"/>
        <v/>
      </c>
      <c r="AR13" s="288" t="str">
        <f t="shared" si="20"/>
        <v/>
      </c>
      <c r="AS13" s="288" t="str">
        <f t="shared" si="21"/>
        <v/>
      </c>
      <c r="AT13" s="289" t="str">
        <f t="shared" si="22"/>
        <v/>
      </c>
      <c r="AU13" s="58" t="str">
        <f>IF($C13="","",VLOOKUP($C13,CTBat!$G$10:$BR$208,AU$4,FALSE))</f>
        <v/>
      </c>
      <c r="AV13" s="37" t="str">
        <f>IF($C13="","",VLOOKUP($C13,CTBat!$G$10:$BR$208,AV$4,FALSE))</f>
        <v/>
      </c>
      <c r="AW13" s="37" t="str">
        <f>IF($C13="","",VLOOKUP($C13,CTBat!$G$10:$BR$208,AW$4,FALSE))</f>
        <v/>
      </c>
      <c r="AX13" s="37" t="str">
        <f>IF($C13="","",VLOOKUP($C13,CTBat!$G$10:$BR$208,AX$4,FALSE))</f>
        <v/>
      </c>
      <c r="AY13" s="38" t="str">
        <f>IF($C13="","",VLOOKUP($C13,CTBat!$G$10:$BR$208,AY$4,FALSE))</f>
        <v/>
      </c>
      <c r="AZ13" s="67" t="str">
        <f t="shared" si="23"/>
        <v/>
      </c>
    </row>
    <row r="14" spans="1:52">
      <c r="A14">
        <v>9</v>
      </c>
      <c r="B14" s="36" t="s">
        <v>104</v>
      </c>
      <c r="C14" s="65"/>
      <c r="D14" s="37" t="str">
        <f>IF($C14="","",VLOOKUP($C14,CTBat!$G$10:$BR$208,D$4,FALSE))</f>
        <v/>
      </c>
      <c r="E14" s="37" t="str">
        <f>IF($C14="","",VLOOKUP($C14,CTBat!$G$10:$BR$208,E$4,FALSE))</f>
        <v/>
      </c>
      <c r="F14" s="53" t="str">
        <f t="shared" si="3"/>
        <v/>
      </c>
      <c r="G14" s="288" t="str">
        <f t="shared" si="4"/>
        <v/>
      </c>
      <c r="H14" s="288" t="str">
        <f t="shared" si="5"/>
        <v/>
      </c>
      <c r="I14" s="288" t="str">
        <f t="shared" si="24"/>
        <v/>
      </c>
      <c r="J14" s="58" t="str">
        <f>IF($C14="","",VLOOKUP($C14,CTBat!$G$10:$BR$208,J$4,FALSE))</f>
        <v/>
      </c>
      <c r="K14" s="37" t="str">
        <f>IF($C14="","",VLOOKUP($C14,CTBat!$G$10:$BR$208,K$4,FALSE))</f>
        <v/>
      </c>
      <c r="L14" s="38" t="str">
        <f>IF($C14="","",VLOOKUP($C14,CTBat!$G$10:$BR$208,L$4,FALSE))</f>
        <v/>
      </c>
      <c r="M14" s="37" t="str">
        <f>IF($C14="","",VLOOKUP($C14,CTBat!$G$10:$BR$208,M$4,FALSE))</f>
        <v/>
      </c>
      <c r="N14" s="37" t="str">
        <f>IF($C14="","",VLOOKUP($C14,CTBat!$G$10:$BR$208,N$4,FALSE))</f>
        <v/>
      </c>
      <c r="O14" s="37" t="str">
        <f>IF($C14="","",VLOOKUP($C14,CTBat!$G$10:$BR$208,O$4,FALSE))</f>
        <v/>
      </c>
      <c r="P14" s="37" t="str">
        <f>IF($C14="","",VLOOKUP($C14,CTBat!$G$10:$BR$208,P$4,FALSE))</f>
        <v/>
      </c>
      <c r="Q14" s="37" t="str">
        <f>IF($C14="","",VLOOKUP($C14,CTBat!$G$10:$BR$208,Q$4,FALSE))</f>
        <v/>
      </c>
      <c r="R14" s="37" t="str">
        <f>IF($C14="","",VLOOKUP($C14,CTBat!$G$10:$BR$208,R$4,FALSE))</f>
        <v/>
      </c>
      <c r="S14" s="37" t="str">
        <f>IF($C14="","",VLOOKUP($C14,CTBat!$G$10:$BR$208,S$4,FALSE))</f>
        <v/>
      </c>
      <c r="T14" s="38" t="str">
        <f>IF($C14="","",VLOOKUP($C14,CTBat!$G$10:$BR$208,T$4,FALSE))</f>
        <v/>
      </c>
      <c r="U14" s="53" t="str">
        <f t="shared" si="1"/>
        <v/>
      </c>
      <c r="V14" s="288" t="str">
        <f t="shared" si="2"/>
        <v/>
      </c>
      <c r="W14" s="288" t="str">
        <f t="shared" si="6"/>
        <v/>
      </c>
      <c r="X14" s="288" t="str">
        <f t="shared" si="7"/>
        <v/>
      </c>
      <c r="Y14" s="288" t="str">
        <f t="shared" si="8"/>
        <v/>
      </c>
      <c r="Z14" s="288" t="str">
        <f t="shared" si="9"/>
        <v/>
      </c>
      <c r="AA14" s="288" t="str">
        <f t="shared" si="10"/>
        <v/>
      </c>
      <c r="AB14" s="288" t="str">
        <f t="shared" si="11"/>
        <v/>
      </c>
      <c r="AC14" s="289" t="str">
        <f t="shared" si="12"/>
        <v/>
      </c>
      <c r="AD14" s="37" t="str">
        <f>IF($C14="","",VLOOKUP($C14,CTBat!$G$10:$BR$208,AD$4,FALSE))</f>
        <v/>
      </c>
      <c r="AE14" s="37" t="str">
        <f>IF($C14="","",VLOOKUP($C14,CTBat!$G$10:$BR$208,AE$4,FALSE))</f>
        <v/>
      </c>
      <c r="AF14" s="37" t="str">
        <f>IF($C14="","",VLOOKUP($C14,CTBat!$G$10:$BR$208,AF$4,FALSE))</f>
        <v/>
      </c>
      <c r="AG14" s="37" t="str">
        <f>IF($C14="","",VLOOKUP($C14,CTBat!$G$10:$BR$208,AG$4,FALSE))</f>
        <v/>
      </c>
      <c r="AH14" s="37" t="str">
        <f>IF($C14="","",VLOOKUP($C14,CTBat!$G$10:$BR$208,AH$4,FALSE))</f>
        <v/>
      </c>
      <c r="AI14" s="58" t="str">
        <f>IF($C14="","",VLOOKUP($C14,CTBat!$G$10:$BR$208,AI$4,FALSE))</f>
        <v/>
      </c>
      <c r="AJ14" s="38" t="str">
        <f>IF($C14="","",VLOOKUP($C14,CTBat!$G$10:$BR$208,AJ$4,FALSE))</f>
        <v/>
      </c>
      <c r="AK14" s="67" t="str">
        <f t="shared" si="13"/>
        <v/>
      </c>
      <c r="AL14" s="53" t="str">
        <f t="shared" si="14"/>
        <v/>
      </c>
      <c r="AM14" s="288" t="str">
        <f t="shared" si="15"/>
        <v/>
      </c>
      <c r="AN14" s="288" t="str">
        <f t="shared" si="16"/>
        <v/>
      </c>
      <c r="AO14" s="288" t="str">
        <f t="shared" si="17"/>
        <v/>
      </c>
      <c r="AP14" s="288" t="str">
        <f t="shared" si="18"/>
        <v/>
      </c>
      <c r="AQ14" s="288" t="str">
        <f t="shared" si="19"/>
        <v/>
      </c>
      <c r="AR14" s="288" t="str">
        <f t="shared" si="20"/>
        <v/>
      </c>
      <c r="AS14" s="288" t="str">
        <f t="shared" si="21"/>
        <v/>
      </c>
      <c r="AT14" s="289" t="str">
        <f t="shared" si="22"/>
        <v/>
      </c>
      <c r="AU14" s="58" t="str">
        <f>IF($C14="","",VLOOKUP($C14,CTBat!$G$10:$BR$208,AU$4,FALSE))</f>
        <v/>
      </c>
      <c r="AV14" s="37" t="str">
        <f>IF($C14="","",VLOOKUP($C14,CTBat!$G$10:$BR$208,AV$4,FALSE))</f>
        <v/>
      </c>
      <c r="AW14" s="37" t="str">
        <f>IF($C14="","",VLOOKUP($C14,CTBat!$G$10:$BR$208,AW$4,FALSE))</f>
        <v/>
      </c>
      <c r="AX14" s="37" t="str">
        <f>IF($C14="","",VLOOKUP($C14,CTBat!$G$10:$BR$208,AX$4,FALSE))</f>
        <v/>
      </c>
      <c r="AY14" s="38" t="str">
        <f>IF($C14="","",VLOOKUP($C14,CTBat!$G$10:$BR$208,AY$4,FALSE))</f>
        <v/>
      </c>
      <c r="AZ14" s="67" t="str">
        <f t="shared" si="23"/>
        <v/>
      </c>
    </row>
    <row r="15" spans="1:52">
      <c r="A15">
        <v>9</v>
      </c>
      <c r="B15" s="36" t="s">
        <v>104</v>
      </c>
      <c r="C15" s="65"/>
      <c r="D15" s="37" t="str">
        <f>IF($C15="","",VLOOKUP($C15,CTBat!$G$10:$BR$208,D$4,FALSE))</f>
        <v/>
      </c>
      <c r="E15" s="37" t="str">
        <f>IF($C15="","",VLOOKUP($C15,CTBat!$G$10:$BR$208,E$4,FALSE))</f>
        <v/>
      </c>
      <c r="F15" s="53" t="str">
        <f t="shared" si="3"/>
        <v/>
      </c>
      <c r="G15" s="288" t="str">
        <f t="shared" si="4"/>
        <v/>
      </c>
      <c r="H15" s="288" t="str">
        <f t="shared" si="5"/>
        <v/>
      </c>
      <c r="I15" s="288" t="str">
        <f t="shared" si="24"/>
        <v/>
      </c>
      <c r="J15" s="58" t="str">
        <f>IF($C15="","",VLOOKUP($C15,CTBat!$G$10:$BR$208,J$4,FALSE))</f>
        <v/>
      </c>
      <c r="K15" s="37" t="str">
        <f>IF($C15="","",VLOOKUP($C15,CTBat!$G$10:$BR$208,K$4,FALSE))</f>
        <v/>
      </c>
      <c r="L15" s="38" t="str">
        <f>IF($C15="","",VLOOKUP($C15,CTBat!$G$10:$BR$208,L$4,FALSE))</f>
        <v/>
      </c>
      <c r="M15" s="37" t="str">
        <f>IF($C15="","",VLOOKUP($C15,CTBat!$G$10:$BR$208,M$4,FALSE))</f>
        <v/>
      </c>
      <c r="N15" s="37" t="str">
        <f>IF($C15="","",VLOOKUP($C15,CTBat!$G$10:$BR$208,N$4,FALSE))</f>
        <v/>
      </c>
      <c r="O15" s="37" t="str">
        <f>IF($C15="","",VLOOKUP($C15,CTBat!$G$10:$BR$208,O$4,FALSE))</f>
        <v/>
      </c>
      <c r="P15" s="37" t="str">
        <f>IF($C15="","",VLOOKUP($C15,CTBat!$G$10:$BR$208,P$4,FALSE))</f>
        <v/>
      </c>
      <c r="Q15" s="37" t="str">
        <f>IF($C15="","",VLOOKUP($C15,CTBat!$G$10:$BR$208,Q$4,FALSE))</f>
        <v/>
      </c>
      <c r="R15" s="37" t="str">
        <f>IF($C15="","",VLOOKUP($C15,CTBat!$G$10:$BR$208,R$4,FALSE))</f>
        <v/>
      </c>
      <c r="S15" s="37" t="str">
        <f>IF($C15="","",VLOOKUP($C15,CTBat!$G$10:$BR$208,S$4,FALSE))</f>
        <v/>
      </c>
      <c r="T15" s="38" t="str">
        <f>IF($C15="","",VLOOKUP($C15,CTBat!$G$10:$BR$208,T$4,FALSE))</f>
        <v/>
      </c>
      <c r="U15" s="53" t="str">
        <f t="shared" si="1"/>
        <v/>
      </c>
      <c r="V15" s="288" t="str">
        <f t="shared" si="2"/>
        <v/>
      </c>
      <c r="W15" s="288" t="str">
        <f t="shared" si="6"/>
        <v/>
      </c>
      <c r="X15" s="288" t="str">
        <f t="shared" si="7"/>
        <v/>
      </c>
      <c r="Y15" s="288" t="str">
        <f t="shared" si="8"/>
        <v/>
      </c>
      <c r="Z15" s="288" t="str">
        <f t="shared" si="9"/>
        <v/>
      </c>
      <c r="AA15" s="288" t="str">
        <f t="shared" si="10"/>
        <v/>
      </c>
      <c r="AB15" s="288" t="str">
        <f t="shared" si="11"/>
        <v/>
      </c>
      <c r="AC15" s="289" t="str">
        <f t="shared" si="12"/>
        <v/>
      </c>
      <c r="AD15" s="37" t="str">
        <f>IF($C15="","",VLOOKUP($C15,CTBat!$G$10:$BR$208,AD$4,FALSE))</f>
        <v/>
      </c>
      <c r="AE15" s="37" t="str">
        <f>IF($C15="","",VLOOKUP($C15,CTBat!$G$10:$BR$208,AE$4,FALSE))</f>
        <v/>
      </c>
      <c r="AF15" s="37" t="str">
        <f>IF($C15="","",VLOOKUP($C15,CTBat!$G$10:$BR$208,AF$4,FALSE))</f>
        <v/>
      </c>
      <c r="AG15" s="37" t="str">
        <f>IF($C15="","",VLOOKUP($C15,CTBat!$G$10:$BR$208,AG$4,FALSE))</f>
        <v/>
      </c>
      <c r="AH15" s="37" t="str">
        <f>IF($C15="","",VLOOKUP($C15,CTBat!$G$10:$BR$208,AH$4,FALSE))</f>
        <v/>
      </c>
      <c r="AI15" s="58" t="str">
        <f>IF($C15="","",VLOOKUP($C15,CTBat!$G$10:$BR$208,AI$4,FALSE))</f>
        <v/>
      </c>
      <c r="AJ15" s="38" t="str">
        <f>IF($C15="","",VLOOKUP($C15,CTBat!$G$10:$BR$208,AJ$4,FALSE))</f>
        <v/>
      </c>
      <c r="AK15" s="67" t="str">
        <f t="shared" si="13"/>
        <v/>
      </c>
      <c r="AL15" s="53" t="str">
        <f t="shared" si="14"/>
        <v/>
      </c>
      <c r="AM15" s="288" t="str">
        <f t="shared" si="15"/>
        <v/>
      </c>
      <c r="AN15" s="288" t="str">
        <f t="shared" si="16"/>
        <v/>
      </c>
      <c r="AO15" s="288" t="str">
        <f t="shared" si="17"/>
        <v/>
      </c>
      <c r="AP15" s="288" t="str">
        <f t="shared" si="18"/>
        <v/>
      </c>
      <c r="AQ15" s="288" t="str">
        <f t="shared" si="19"/>
        <v/>
      </c>
      <c r="AR15" s="288" t="str">
        <f t="shared" si="20"/>
        <v/>
      </c>
      <c r="AS15" s="288" t="str">
        <f t="shared" si="21"/>
        <v/>
      </c>
      <c r="AT15" s="289" t="str">
        <f t="shared" si="22"/>
        <v/>
      </c>
      <c r="AU15" s="58" t="str">
        <f>IF($C15="","",VLOOKUP($C15,CTBat!$G$10:$BR$208,AU$4,FALSE))</f>
        <v/>
      </c>
      <c r="AV15" s="37" t="str">
        <f>IF($C15="","",VLOOKUP($C15,CTBat!$G$10:$BR$208,AV$4,FALSE))</f>
        <v/>
      </c>
      <c r="AW15" s="37" t="str">
        <f>IF($C15="","",VLOOKUP($C15,CTBat!$G$10:$BR$208,AW$4,FALSE))</f>
        <v/>
      </c>
      <c r="AX15" s="37" t="str">
        <f>IF($C15="","",VLOOKUP($C15,CTBat!$G$10:$BR$208,AX$4,FALSE))</f>
        <v/>
      </c>
      <c r="AY15" s="38" t="str">
        <f>IF($C15="","",VLOOKUP($C15,CTBat!$G$10:$BR$208,AY$4,FALSE))</f>
        <v/>
      </c>
      <c r="AZ15" s="67" t="str">
        <f t="shared" si="23"/>
        <v/>
      </c>
    </row>
    <row r="16" spans="1:52">
      <c r="A16">
        <v>9</v>
      </c>
      <c r="B16" s="36" t="s">
        <v>104</v>
      </c>
      <c r="C16" s="65"/>
      <c r="D16" s="37" t="str">
        <f>IF($C16="","",VLOOKUP($C16,CTBat!$G$10:$BR$208,D$4,FALSE))</f>
        <v/>
      </c>
      <c r="E16" s="37" t="str">
        <f>IF($C16="","",VLOOKUP($C16,CTBat!$G$10:$BR$208,E$4,FALSE))</f>
        <v/>
      </c>
      <c r="F16" s="53" t="str">
        <f t="shared" si="3"/>
        <v/>
      </c>
      <c r="G16" s="288" t="str">
        <f t="shared" si="4"/>
        <v/>
      </c>
      <c r="H16" s="288" t="str">
        <f t="shared" si="5"/>
        <v/>
      </c>
      <c r="I16" s="288" t="str">
        <f t="shared" si="24"/>
        <v/>
      </c>
      <c r="J16" s="58" t="str">
        <f>IF($C16="","",VLOOKUP($C16,CTBat!$G$10:$BR$208,J$4,FALSE))</f>
        <v/>
      </c>
      <c r="K16" s="37" t="str">
        <f>IF($C16="","",VLOOKUP($C16,CTBat!$G$10:$BR$208,K$4,FALSE))</f>
        <v/>
      </c>
      <c r="L16" s="38" t="str">
        <f>IF($C16="","",VLOOKUP($C16,CTBat!$G$10:$BR$208,L$4,FALSE))</f>
        <v/>
      </c>
      <c r="M16" s="37" t="str">
        <f>IF($C16="","",VLOOKUP($C16,CTBat!$G$10:$BR$208,M$4,FALSE))</f>
        <v/>
      </c>
      <c r="N16" s="37" t="str">
        <f>IF($C16="","",VLOOKUP($C16,CTBat!$G$10:$BR$208,N$4,FALSE))</f>
        <v/>
      </c>
      <c r="O16" s="37" t="str">
        <f>IF($C16="","",VLOOKUP($C16,CTBat!$G$10:$BR$208,O$4,FALSE))</f>
        <v/>
      </c>
      <c r="P16" s="37" t="str">
        <f>IF($C16="","",VLOOKUP($C16,CTBat!$G$10:$BR$208,P$4,FALSE))</f>
        <v/>
      </c>
      <c r="Q16" s="37" t="str">
        <f>IF($C16="","",VLOOKUP($C16,CTBat!$G$10:$BR$208,Q$4,FALSE))</f>
        <v/>
      </c>
      <c r="R16" s="37" t="str">
        <f>IF($C16="","",VLOOKUP($C16,CTBat!$G$10:$BR$208,R$4,FALSE))</f>
        <v/>
      </c>
      <c r="S16" s="37" t="str">
        <f>IF($C16="","",VLOOKUP($C16,CTBat!$G$10:$BR$208,S$4,FALSE))</f>
        <v/>
      </c>
      <c r="T16" s="38" t="str">
        <f>IF($C16="","",VLOOKUP($C16,CTBat!$G$10:$BR$208,T$4,FALSE))</f>
        <v/>
      </c>
      <c r="U16" s="53" t="str">
        <f t="shared" si="1"/>
        <v/>
      </c>
      <c r="V16" s="288" t="str">
        <f t="shared" si="2"/>
        <v/>
      </c>
      <c r="W16" s="288" t="str">
        <f t="shared" si="6"/>
        <v/>
      </c>
      <c r="X16" s="288" t="str">
        <f t="shared" si="7"/>
        <v/>
      </c>
      <c r="Y16" s="288" t="str">
        <f t="shared" si="8"/>
        <v/>
      </c>
      <c r="Z16" s="288" t="str">
        <f t="shared" si="9"/>
        <v/>
      </c>
      <c r="AA16" s="288" t="str">
        <f t="shared" si="10"/>
        <v/>
      </c>
      <c r="AB16" s="288" t="str">
        <f t="shared" si="11"/>
        <v/>
      </c>
      <c r="AC16" s="289" t="str">
        <f t="shared" si="12"/>
        <v/>
      </c>
      <c r="AD16" s="37" t="str">
        <f>IF($C16="","",VLOOKUP($C16,CTBat!$G$10:$BR$208,AD$4,FALSE))</f>
        <v/>
      </c>
      <c r="AE16" s="37" t="str">
        <f>IF($C16="","",VLOOKUP($C16,CTBat!$G$10:$BR$208,AE$4,FALSE))</f>
        <v/>
      </c>
      <c r="AF16" s="37" t="str">
        <f>IF($C16="","",VLOOKUP($C16,CTBat!$G$10:$BR$208,AF$4,FALSE))</f>
        <v/>
      </c>
      <c r="AG16" s="37" t="str">
        <f>IF($C16="","",VLOOKUP($C16,CTBat!$G$10:$BR$208,AG$4,FALSE))</f>
        <v/>
      </c>
      <c r="AH16" s="37" t="str">
        <f>IF($C16="","",VLOOKUP($C16,CTBat!$G$10:$BR$208,AH$4,FALSE))</f>
        <v/>
      </c>
      <c r="AI16" s="58" t="str">
        <f>IF($C16="","",VLOOKUP($C16,CTBat!$G$10:$BR$208,AI$4,FALSE))</f>
        <v/>
      </c>
      <c r="AJ16" s="38" t="str">
        <f>IF($C16="","",VLOOKUP($C16,CTBat!$G$10:$BR$208,AJ$4,FALSE))</f>
        <v/>
      </c>
      <c r="AK16" s="67" t="str">
        <f t="shared" si="13"/>
        <v/>
      </c>
      <c r="AL16" s="53" t="str">
        <f t="shared" si="14"/>
        <v/>
      </c>
      <c r="AM16" s="288" t="str">
        <f t="shared" si="15"/>
        <v/>
      </c>
      <c r="AN16" s="288" t="str">
        <f t="shared" si="16"/>
        <v/>
      </c>
      <c r="AO16" s="288" t="str">
        <f t="shared" si="17"/>
        <v/>
      </c>
      <c r="AP16" s="288" t="str">
        <f t="shared" si="18"/>
        <v/>
      </c>
      <c r="AQ16" s="288" t="str">
        <f t="shared" si="19"/>
        <v/>
      </c>
      <c r="AR16" s="288" t="str">
        <f t="shared" si="20"/>
        <v/>
      </c>
      <c r="AS16" s="288" t="str">
        <f t="shared" si="21"/>
        <v/>
      </c>
      <c r="AT16" s="289" t="str">
        <f t="shared" si="22"/>
        <v/>
      </c>
      <c r="AU16" s="58" t="str">
        <f>IF($C16="","",VLOOKUP($C16,CTBat!$G$10:$BR$208,AU$4,FALSE))</f>
        <v/>
      </c>
      <c r="AV16" s="37" t="str">
        <f>IF($C16="","",VLOOKUP($C16,CTBat!$G$10:$BR$208,AV$4,FALSE))</f>
        <v/>
      </c>
      <c r="AW16" s="37" t="str">
        <f>IF($C16="","",VLOOKUP($C16,CTBat!$G$10:$BR$208,AW$4,FALSE))</f>
        <v/>
      </c>
      <c r="AX16" s="37" t="str">
        <f>IF($C16="","",VLOOKUP($C16,CTBat!$G$10:$BR$208,AX$4,FALSE))</f>
        <v/>
      </c>
      <c r="AY16" s="38" t="str">
        <f>IF($C16="","",VLOOKUP($C16,CTBat!$G$10:$BR$208,AY$4,FALSE))</f>
        <v/>
      </c>
      <c r="AZ16" s="67" t="str">
        <f t="shared" si="23"/>
        <v/>
      </c>
    </row>
    <row r="17" spans="1:52">
      <c r="A17">
        <v>10</v>
      </c>
      <c r="B17" s="39" t="s">
        <v>104</v>
      </c>
      <c r="C17" s="40"/>
      <c r="D17" s="40" t="str">
        <f>IF($C17="","",VLOOKUP($C17,CTBat!$G$10:$BR$208,D$4,FALSE))</f>
        <v/>
      </c>
      <c r="E17" s="40" t="str">
        <f>IF($C17="","",VLOOKUP($C17,CTBat!$G$10:$BR$208,E$4,FALSE))</f>
        <v/>
      </c>
      <c r="F17" s="54" t="str">
        <f t="shared" si="3"/>
        <v/>
      </c>
      <c r="G17" s="286" t="str">
        <f t="shared" si="4"/>
        <v/>
      </c>
      <c r="H17" s="286" t="str">
        <f t="shared" si="5"/>
        <v/>
      </c>
      <c r="I17" s="286" t="str">
        <f t="shared" si="24"/>
        <v/>
      </c>
      <c r="J17" s="59" t="str">
        <f>IF($C17="","",VLOOKUP($C17,CTBat!$G$10:$BR$208,J$4,FALSE))</f>
        <v/>
      </c>
      <c r="K17" s="40" t="str">
        <f>IF($C17="","",VLOOKUP($C17,CTBat!$G$10:$BR$208,K$4,FALSE))</f>
        <v/>
      </c>
      <c r="L17" s="42" t="str">
        <f>IF($C17="","",VLOOKUP($C17,CTBat!$G$10:$BR$208,L$4,FALSE))</f>
        <v/>
      </c>
      <c r="M17" s="40" t="str">
        <f>IF($C17="","",VLOOKUP($C17,CTBat!$G$10:$BR$208,M$4,FALSE))</f>
        <v/>
      </c>
      <c r="N17" s="40" t="str">
        <f>IF($C17="","",VLOOKUP($C17,CTBat!$G$10:$BR$208,N$4,FALSE))</f>
        <v/>
      </c>
      <c r="O17" s="40" t="str">
        <f>IF($C17="","",VLOOKUP($C17,CTBat!$G$10:$BR$208,O$4,FALSE))</f>
        <v/>
      </c>
      <c r="P17" s="40" t="str">
        <f>IF($C17="","",VLOOKUP($C17,CTBat!$G$10:$BR$208,P$4,FALSE))</f>
        <v/>
      </c>
      <c r="Q17" s="40" t="str">
        <f>IF($C17="","",VLOOKUP($C17,CTBat!$G$10:$BR$208,Q$4,FALSE))</f>
        <v/>
      </c>
      <c r="R17" s="40" t="str">
        <f>IF($C17="","",VLOOKUP($C17,CTBat!$G$10:$BR$208,R$4,FALSE))</f>
        <v/>
      </c>
      <c r="S17" s="40" t="str">
        <f>IF($C17="","",VLOOKUP($C17,CTBat!$G$10:$BR$208,S$4,FALSE))</f>
        <v/>
      </c>
      <c r="T17" s="42" t="str">
        <f>IF($C17="","",VLOOKUP($C17,CTBat!$G$10:$BR$208,T$4,FALSE))</f>
        <v/>
      </c>
      <c r="U17" s="54" t="str">
        <f t="shared" si="1"/>
        <v/>
      </c>
      <c r="V17" s="286" t="str">
        <f t="shared" si="2"/>
        <v/>
      </c>
      <c r="W17" s="286" t="str">
        <f t="shared" si="6"/>
        <v/>
      </c>
      <c r="X17" s="286" t="str">
        <f t="shared" si="7"/>
        <v/>
      </c>
      <c r="Y17" s="286" t="str">
        <f t="shared" si="8"/>
        <v/>
      </c>
      <c r="Z17" s="286" t="str">
        <f t="shared" si="9"/>
        <v/>
      </c>
      <c r="AA17" s="286" t="str">
        <f t="shared" si="10"/>
        <v/>
      </c>
      <c r="AB17" s="286" t="str">
        <f t="shared" si="11"/>
        <v/>
      </c>
      <c r="AC17" s="287" t="str">
        <f t="shared" si="12"/>
        <v/>
      </c>
      <c r="AD17" s="40" t="str">
        <f>IF($C17="","",VLOOKUP($C17,CTBat!$G$10:$BR$208,AD$4,FALSE))</f>
        <v/>
      </c>
      <c r="AE17" s="40" t="str">
        <f>IF($C17="","",VLOOKUP($C17,CTBat!$G$10:$BR$208,AE$4,FALSE))</f>
        <v/>
      </c>
      <c r="AF17" s="40" t="str">
        <f>IF($C17="","",VLOOKUP($C17,CTBat!$G$10:$BR$208,AF$4,FALSE))</f>
        <v/>
      </c>
      <c r="AG17" s="40" t="str">
        <f>IF($C17="","",VLOOKUP($C17,CTBat!$G$10:$BR$208,AG$4,FALSE))</f>
        <v/>
      </c>
      <c r="AH17" s="40" t="str">
        <f>IF($C17="","",VLOOKUP($C17,CTBat!$G$10:$BR$208,AH$4,FALSE))</f>
        <v/>
      </c>
      <c r="AI17" s="59" t="str">
        <f>IF($C17="","",VLOOKUP($C17,CTBat!$G$10:$BR$208,AI$4,FALSE))</f>
        <v/>
      </c>
      <c r="AJ17" s="42" t="str">
        <f>IF($C17="","",VLOOKUP($C17,CTBat!$G$10:$BR$208,AJ$4,FALSE))</f>
        <v/>
      </c>
      <c r="AK17" s="68" t="str">
        <f t="shared" si="13"/>
        <v/>
      </c>
      <c r="AL17" s="54" t="str">
        <f t="shared" si="14"/>
        <v/>
      </c>
      <c r="AM17" s="286" t="str">
        <f t="shared" si="15"/>
        <v/>
      </c>
      <c r="AN17" s="286" t="str">
        <f t="shared" si="16"/>
        <v/>
      </c>
      <c r="AO17" s="286" t="str">
        <f t="shared" si="17"/>
        <v/>
      </c>
      <c r="AP17" s="286" t="str">
        <f t="shared" si="18"/>
        <v/>
      </c>
      <c r="AQ17" s="286" t="str">
        <f t="shared" si="19"/>
        <v/>
      </c>
      <c r="AR17" s="286" t="str">
        <f t="shared" si="20"/>
        <v/>
      </c>
      <c r="AS17" s="286" t="str">
        <f t="shared" si="21"/>
        <v/>
      </c>
      <c r="AT17" s="287" t="str">
        <f t="shared" si="22"/>
        <v/>
      </c>
      <c r="AU17" s="59" t="str">
        <f>IF($C17="","",VLOOKUP($C17,CTBat!$G$10:$BR$208,AU$4,FALSE))</f>
        <v/>
      </c>
      <c r="AV17" s="40" t="str">
        <f>IF($C17="","",VLOOKUP($C17,CTBat!$G$10:$BR$208,AV$4,FALSE))</f>
        <v/>
      </c>
      <c r="AW17" s="40" t="str">
        <f>IF($C17="","",VLOOKUP($C17,CTBat!$G$10:$BR$208,AW$4,FALSE))</f>
        <v/>
      </c>
      <c r="AX17" s="40" t="str">
        <f>IF($C17="","",VLOOKUP($C17,CTBat!$G$10:$BR$208,AX$4,FALSE))</f>
        <v/>
      </c>
      <c r="AY17" s="42" t="str">
        <f>IF($C17="","",VLOOKUP($C17,CTBat!$G$10:$BR$208,AY$4,FALSE))</f>
        <v/>
      </c>
      <c r="AZ17" s="68" t="str">
        <f t="shared" si="23"/>
        <v/>
      </c>
    </row>
    <row r="19" spans="1:52" s="24" customFormat="1" ht="196.5">
      <c r="A19" s="25" t="s">
        <v>196</v>
      </c>
      <c r="B19" s="283" t="s">
        <v>128</v>
      </c>
      <c r="C19" s="44" t="str">
        <f>"Player ("&amp;COUNTA(C20:C27)&amp;")"</f>
        <v>Player (4)</v>
      </c>
      <c r="D19" s="44" t="s">
        <v>94</v>
      </c>
      <c r="E19" s="44" t="s">
        <v>104</v>
      </c>
      <c r="F19" s="51" t="str">
        <f>"Only 1 guy who only plays 2B ("&amp;SUM(F20:F27)&amp;")"</f>
        <v>Only 1 guy who only plays 2B (0)</v>
      </c>
      <c r="G19" s="46" t="str">
        <f>"2 Guys Who Play SS ("&amp;SUM(G20:G27)&amp;")"</f>
        <v>2 Guys Who Play SS (3)</v>
      </c>
      <c r="H19" s="46" t="str">
        <f>"2 guys with 3B arm ("&amp;SUM(H20:H27)&amp;")"</f>
        <v>2 guys with 3B arm (3)</v>
      </c>
      <c r="I19" s="49" t="s">
        <v>41</v>
      </c>
      <c r="J19" s="47" t="s">
        <v>139</v>
      </c>
      <c r="K19" s="47" t="s">
        <v>137</v>
      </c>
      <c r="L19" s="47" t="s">
        <v>138</v>
      </c>
      <c r="M19" s="63" t="s">
        <v>95</v>
      </c>
      <c r="N19" s="48" t="s">
        <v>97</v>
      </c>
      <c r="O19" s="48" t="s">
        <v>98</v>
      </c>
      <c r="P19" s="48" t="s">
        <v>99</v>
      </c>
      <c r="Q19" s="48" t="s">
        <v>100</v>
      </c>
      <c r="R19" s="48" t="s">
        <v>101</v>
      </c>
      <c r="S19" s="48" t="s">
        <v>102</v>
      </c>
      <c r="T19" s="49" t="s">
        <v>103</v>
      </c>
      <c r="U19" s="45" t="s">
        <v>140</v>
      </c>
      <c r="V19" s="45" t="s">
        <v>184</v>
      </c>
      <c r="W19" s="45" t="s">
        <v>141</v>
      </c>
      <c r="X19" s="45" t="s">
        <v>142</v>
      </c>
      <c r="Y19" s="45" t="s">
        <v>143</v>
      </c>
      <c r="Z19" s="45" t="s">
        <v>144</v>
      </c>
      <c r="AA19" s="45" t="s">
        <v>145</v>
      </c>
      <c r="AB19" s="45" t="s">
        <v>147</v>
      </c>
      <c r="AC19" s="45" t="s">
        <v>146</v>
      </c>
      <c r="AD19" s="63" t="s">
        <v>150</v>
      </c>
      <c r="AE19" s="48" t="s">
        <v>151</v>
      </c>
      <c r="AF19" s="48" t="s">
        <v>152</v>
      </c>
      <c r="AG19" s="48" t="s">
        <v>153</v>
      </c>
      <c r="AH19" s="48" t="s">
        <v>29</v>
      </c>
      <c r="AI19" s="48" t="s">
        <v>154</v>
      </c>
      <c r="AJ19" s="49" t="s">
        <v>155</v>
      </c>
      <c r="AK19" s="66" t="s">
        <v>160</v>
      </c>
      <c r="AL19" s="45" t="s">
        <v>140</v>
      </c>
      <c r="AM19" s="45" t="s">
        <v>184</v>
      </c>
      <c r="AN19" s="45" t="s">
        <v>141</v>
      </c>
      <c r="AO19" s="45" t="s">
        <v>142</v>
      </c>
      <c r="AP19" s="45" t="s">
        <v>143</v>
      </c>
      <c r="AQ19" s="45" t="s">
        <v>144</v>
      </c>
      <c r="AR19" s="45" t="s">
        <v>145</v>
      </c>
      <c r="AS19" s="45" t="s">
        <v>147</v>
      </c>
      <c r="AT19" s="45" t="s">
        <v>146</v>
      </c>
      <c r="AU19" s="63" t="s">
        <v>150</v>
      </c>
      <c r="AV19" s="48" t="s">
        <v>151</v>
      </c>
      <c r="AW19" s="48" t="s">
        <v>152</v>
      </c>
      <c r="AX19" s="48" t="s">
        <v>153</v>
      </c>
      <c r="AY19" s="49" t="s">
        <v>29</v>
      </c>
      <c r="AZ19" s="66" t="s">
        <v>201</v>
      </c>
    </row>
    <row r="20" spans="1:52">
      <c r="A20">
        <v>1</v>
      </c>
      <c r="B20" s="36" t="s">
        <v>98</v>
      </c>
      <c r="C20" s="37" t="s">
        <v>239</v>
      </c>
      <c r="D20" s="37">
        <f>IF($C20="","",VLOOKUP($C20,CTBat!$G$10:$BR$208,D$4,FALSE))</f>
        <v>26</v>
      </c>
      <c r="E20" s="33" t="str">
        <f>IF($C20="","",VLOOKUP($C20,CTBat!$G$10:$BR$208,E$4,FALSE))</f>
        <v>R</v>
      </c>
      <c r="F20" s="53">
        <f>IF($C20="","",IF(AND(O20&gt;0,O20=SUM(M20:T20)),1,0))</f>
        <v>0</v>
      </c>
      <c r="G20" s="288">
        <f t="shared" ref="G20:G26" si="25">IF($C20="","",IF(Q20&lt;&gt;"-",1,0))</f>
        <v>1</v>
      </c>
      <c r="H20" s="288">
        <f>IF($C20="","",IF(AND(K20&gt;5,P20&lt;&gt;"-"),1,0))</f>
        <v>0</v>
      </c>
      <c r="I20" s="289" t="str">
        <f>IF($C20="","","-")</f>
        <v>-</v>
      </c>
      <c r="J20" s="37">
        <f>IF($C20="","",VLOOKUP($C20,CTBat!$G$10:$BR$208,J$4,FALSE))</f>
        <v>1</v>
      </c>
      <c r="K20" s="37">
        <f>IF($C20="","",VLOOKUP($C20,CTBat!$G$10:$BR$208,K$4,FALSE))</f>
        <v>4</v>
      </c>
      <c r="L20" s="37">
        <f>IF($C20="","",VLOOKUP($C20,CTBat!$G$10:$BR$208,L$4,FALSE))</f>
        <v>3</v>
      </c>
      <c r="M20" s="58" t="str">
        <f>IF($C20="","",VLOOKUP($C20,CTBat!$G$10:$BR$208,M$4,FALSE))</f>
        <v>-</v>
      </c>
      <c r="N20" s="37" t="str">
        <f>IF($C20="","",VLOOKUP($C20,CTBat!$G$10:$BR$208,N$4,FALSE))</f>
        <v>-</v>
      </c>
      <c r="O20" s="37">
        <f>IF($C20="","",VLOOKUP($C20,CTBat!$G$10:$BR$208,O$4,FALSE))</f>
        <v>8</v>
      </c>
      <c r="P20" s="37" t="str">
        <f>IF($C20="","",VLOOKUP($C20,CTBat!$G$10:$BR$208,P$4,FALSE))</f>
        <v>-</v>
      </c>
      <c r="Q20" s="37">
        <f>IF($C20="","",VLOOKUP($C20,CTBat!$G$10:$BR$208,Q$4,FALSE))</f>
        <v>1</v>
      </c>
      <c r="R20" s="37" t="str">
        <f>IF($C20="","",VLOOKUP($C20,CTBat!$G$10:$BR$208,R$4,FALSE))</f>
        <v>-</v>
      </c>
      <c r="S20" s="37" t="str">
        <f>IF($C20="","",VLOOKUP($C20,CTBat!$G$10:$BR$208,S$4,FALSE))</f>
        <v>-</v>
      </c>
      <c r="T20" s="38" t="str">
        <f>IF($C20="","",VLOOKUP($C20,CTBat!$G$10:$BR$208,T$4,FALSE))</f>
        <v>-</v>
      </c>
      <c r="U20" s="288">
        <f t="shared" ref="U20:U21" si="26">IF($C20="","",IF(OR(AD20+AG20&gt;14,AND(OR(AD20+AG20&gt;12,AND(AD20&gt;6,AG20&gt;6)),AI20&gt;6,OR(AJ20&gt;=AI20,AJ20&gt;6))),1,0))</f>
        <v>0</v>
      </c>
      <c r="V20" s="288">
        <f t="shared" ref="V20:V27" si="27">IF($C20="","",IF(OR(AND(AD20&gt;6,AH20&gt;6),AD20+AG20&gt;12),1,0))</f>
        <v>1</v>
      </c>
      <c r="W20" s="288">
        <f>IF($C20="","",IF(AND(AD20&gt;6,AF20&gt;6,AG20&gt;6),1,0))</f>
        <v>0</v>
      </c>
      <c r="X20" s="288">
        <f t="shared" ref="X20:X27" si="28">IF($C20="","",IF(AND(AF20&gt;7,OR(AD20&gt;6,AG20&gt;6)),1,0))</f>
        <v>0</v>
      </c>
      <c r="Y20" s="288">
        <f t="shared" ref="Y20:Y27" si="29">IF($C20="","",IF(AND(AF20&gt;6,OR(AD20&gt;6,AG20&gt;6)),1,0))</f>
        <v>0</v>
      </c>
      <c r="Z20" s="288">
        <f t="shared" ref="Z20:Z27" si="30">IF($C20="","",IF(AND(OR(AD20&gt;6,AF20&gt;6),OR(AD20&gt;6,AG20&gt;6)),1,0))</f>
        <v>1</v>
      </c>
      <c r="AA20" s="288">
        <f t="shared" ref="AA20:AA27" si="31">IF($C20="","",IF(AND(AD20&gt;4,OR(AD20&gt;6,AF20&gt;6,AG20&gt;6)),1,0))</f>
        <v>1</v>
      </c>
      <c r="AB20" s="288">
        <f t="shared" ref="AB20:AB27" si="32">IF($C20="","",IF(AND(AD20&gt;4,OR(AD20&gt;6,AE20&gt;6,AF20&gt;6,AG20&gt;6)),1,0))</f>
        <v>1</v>
      </c>
      <c r="AC20" s="288">
        <f t="shared" ref="AC20:AC27" si="33">IF($C20="","",IF(AND(AD20&gt;4,MAX(AD20:AH20)&gt;6),1,0))</f>
        <v>1</v>
      </c>
      <c r="AD20" s="58">
        <f>IF($C20="","",VLOOKUP($C20,CTBat!$G$10:$BR$208,AD$4,FALSE))</f>
        <v>7</v>
      </c>
      <c r="AE20" s="37">
        <f>IF($C20="","",VLOOKUP($C20,CTBat!$G$10:$BR$208,AE$4,FALSE))</f>
        <v>6</v>
      </c>
      <c r="AF20" s="37">
        <f>IF($C20="","",VLOOKUP($C20,CTBat!$G$10:$BR$208,AF$4,FALSE))</f>
        <v>1</v>
      </c>
      <c r="AG20" s="37">
        <f>IF($C20="","",VLOOKUP($C20,CTBat!$G$10:$BR$208,AG$4,FALSE))</f>
        <v>3</v>
      </c>
      <c r="AH20" s="37">
        <f>IF($C20="","",VLOOKUP($C20,CTBat!$G$10:$BR$208,AH$4,FALSE))</f>
        <v>10</v>
      </c>
      <c r="AI20" s="37">
        <f>IF($C20="","",VLOOKUP($C20,CTBat!$G$10:$BR$208,AI$4,FALSE))</f>
        <v>6</v>
      </c>
      <c r="AJ20" s="38">
        <f>IF($C20="","",VLOOKUP($C20,CTBat!$G$10:$BR$208,AJ$4,FALSE))</f>
        <v>7</v>
      </c>
      <c r="AK20" s="67">
        <f>IF($C20="","",(5*AD20+4*AF20+3*AG20+2*AE20+1*AH20+0.5*(AVERAGE(AD20:AE20))+0.5*AVERAGE(AD20,AH20)+1*(AVERAGE(AD20,AF20))+1*AVERAGE(AD20,AG20))/(5+4+3+2+1+0.5+0.5+1+1))</f>
        <v>4.8055555555555554</v>
      </c>
      <c r="AL20" s="288">
        <f t="shared" ref="AL20:AL27" si="34">IF($C20="","",IF(AND(OR(AU20+AX20&gt;12,AND(AU20&gt;6,AX20&gt;6)),AI20&gt;6,OR(AJ20&gt;=AI20,AJ20&gt;6)),1,0))</f>
        <v>0</v>
      </c>
      <c r="AM20" s="288">
        <f t="shared" ref="AM20:AM27" si="35">IF($C20="","",IF(OR(AND(AU20&gt;6,AY20&gt;6),AU20+AX20&gt;12),1,0))</f>
        <v>1</v>
      </c>
      <c r="AN20" s="288">
        <f t="shared" ref="AN20:AN27" si="36">IF($C20="","",IF(AND(AU20&gt;6,AW20&gt;6,AX20&gt;6),1,0))</f>
        <v>0</v>
      </c>
      <c r="AO20" s="288">
        <f t="shared" ref="AO20:AO27" si="37">IF($C20="","",IF(AND(AW20&gt;7,OR(AU20&gt;6,AX20&gt;6)),1,0))</f>
        <v>0</v>
      </c>
      <c r="AP20" s="288">
        <f t="shared" ref="AP20:AP27" si="38">IF($C20="","",IF(AND(AW20&gt;6,OR(AU20&gt;6,AX20&gt;6)),1,0))</f>
        <v>0</v>
      </c>
      <c r="AQ20" s="288">
        <f t="shared" ref="AQ20:AQ27" si="39">IF($C20="","",IF(AND(OR(AU20&gt;6,AW20&gt;6),OR(AU20&gt;6,AX20&gt;6)),1,0))</f>
        <v>1</v>
      </c>
      <c r="AR20" s="288">
        <f t="shared" ref="AR20:AR27" si="40">IF($C20="","",IF(AND(AU20&gt;4,OR(AU20&gt;6,AW20&gt;6,AX20&gt;6)),1,0))</f>
        <v>1</v>
      </c>
      <c r="AS20" s="288">
        <f t="shared" ref="AS20:AS27" si="41">IF($C20="","",IF(AND(AU20&gt;4,OR(AU20&gt;6,AV20&gt;6,AW20&gt;6,AX20&gt;6)),1,0))</f>
        <v>1</v>
      </c>
      <c r="AT20" s="288">
        <f t="shared" ref="AT20:AT27" si="42">IF($C20="","",IF(AND(AU20&gt;4,MAX(AU20:AY20)&gt;6),1,0))</f>
        <v>1</v>
      </c>
      <c r="AU20" s="58">
        <f>IF($C20="","",VLOOKUP($C20,CTBat!$G$10:$BR$208,AU$4,FALSE))</f>
        <v>7</v>
      </c>
      <c r="AV20" s="37">
        <f>IF($C20="","",VLOOKUP($C20,CTBat!$G$10:$BR$208,AV$4,FALSE))</f>
        <v>7</v>
      </c>
      <c r="AW20" s="37">
        <f>IF($C20="","",VLOOKUP($C20,CTBat!$G$10:$BR$208,AW$4,FALSE))</f>
        <v>1</v>
      </c>
      <c r="AX20" s="37">
        <f>IF($C20="","",VLOOKUP($C20,CTBat!$G$10:$BR$208,AX$4,FALSE))</f>
        <v>4</v>
      </c>
      <c r="AY20" s="38">
        <f>IF($C20="","",VLOOKUP($C20,CTBat!$G$10:$BR$208,AY$4,FALSE))</f>
        <v>10</v>
      </c>
      <c r="AZ20" s="67">
        <f t="shared" ref="AZ20:AZ27" si="43">IF($C20="","",(5*AU20+4*AW20+3*AX20+2*AV20+1*AY20+0.5*(AVERAGE(AU20:AV20))+0.5*AVERAGE(AU20,AY20)+1*(AVERAGE(AU20,AW20))+1*AVERAGE(AU20,AX20))/(5+4+3+2+1+0.5+0.5+1+1))</f>
        <v>5.125</v>
      </c>
    </row>
    <row r="21" spans="1:52">
      <c r="A21">
        <v>2</v>
      </c>
      <c r="B21" s="36" t="s">
        <v>99</v>
      </c>
      <c r="C21" s="37" t="s">
        <v>401</v>
      </c>
      <c r="D21" s="37">
        <f>IF($C21="","",VLOOKUP($C21,CTBat!$G$10:$BR$208,D$4,FALSE))</f>
        <v>24</v>
      </c>
      <c r="E21" s="37" t="str">
        <f>IF($C21="","",VLOOKUP($C21,CTBat!$G$10:$BR$208,E$4,FALSE))</f>
        <v>R</v>
      </c>
      <c r="F21" s="53">
        <f t="shared" ref="F21:F27" si="44">IF($C21="","",IF(AND(O21&gt;0,O21=SUM(M21:T21)),1,0))</f>
        <v>0</v>
      </c>
      <c r="G21" s="288">
        <f t="shared" si="25"/>
        <v>0</v>
      </c>
      <c r="H21" s="288">
        <f>IF($C21="","",IF(AND(K21&gt;5,P21&lt;&gt;"-"),1,0))</f>
        <v>1</v>
      </c>
      <c r="I21" s="289" t="str">
        <f t="shared" ref="I21:I27" si="45">IF($C21="","","-")</f>
        <v>-</v>
      </c>
      <c r="J21" s="37">
        <f>IF($C21="","",VLOOKUP($C21,CTBat!$G$10:$BR$208,J$4,FALSE))</f>
        <v>1</v>
      </c>
      <c r="K21" s="37">
        <f>IF($C21="","",VLOOKUP($C21,CTBat!$G$10:$BR$208,K$4,FALSE))</f>
        <v>9</v>
      </c>
      <c r="L21" s="37">
        <f>IF($C21="","",VLOOKUP($C21,CTBat!$G$10:$BR$208,L$4,FALSE))</f>
        <v>9</v>
      </c>
      <c r="M21" s="58" t="str">
        <f>IF($C21="","",VLOOKUP($C21,CTBat!$G$10:$BR$208,M$4,FALSE))</f>
        <v>-</v>
      </c>
      <c r="N21" s="37">
        <f>IF($C21="","",VLOOKUP($C21,CTBat!$G$10:$BR$208,N$4,FALSE))</f>
        <v>7</v>
      </c>
      <c r="O21" s="37" t="str">
        <f>IF($C21="","",VLOOKUP($C21,CTBat!$G$10:$BR$208,O$4,FALSE))</f>
        <v>-</v>
      </c>
      <c r="P21" s="37">
        <f>IF($C21="","",VLOOKUP($C21,CTBat!$G$10:$BR$208,P$4,FALSE))</f>
        <v>8</v>
      </c>
      <c r="Q21" s="37" t="str">
        <f>IF($C21="","",VLOOKUP($C21,CTBat!$G$10:$BR$208,Q$4,FALSE))</f>
        <v>-</v>
      </c>
      <c r="R21" s="37">
        <f>IF($C21="","",VLOOKUP($C21,CTBat!$G$10:$BR$208,R$4,FALSE))</f>
        <v>4</v>
      </c>
      <c r="S21" s="37">
        <f>IF($C21="","",VLOOKUP($C21,CTBat!$G$10:$BR$208,S$4,FALSE))</f>
        <v>2</v>
      </c>
      <c r="T21" s="38">
        <f>IF($C21="","",VLOOKUP($C21,CTBat!$G$10:$BR$208,T$4,FALSE))</f>
        <v>4</v>
      </c>
      <c r="U21" s="288">
        <f t="shared" si="26"/>
        <v>0</v>
      </c>
      <c r="V21" s="288">
        <f t="shared" si="27"/>
        <v>0</v>
      </c>
      <c r="W21" s="288">
        <f t="shared" ref="W21:W27" si="46">IF($C21="","",IF(AND(AD21&gt;6,AF21&gt;6,AG21&gt;6),1,0))</f>
        <v>0</v>
      </c>
      <c r="X21" s="288">
        <f t="shared" si="28"/>
        <v>0</v>
      </c>
      <c r="Y21" s="288">
        <f t="shared" si="29"/>
        <v>0</v>
      </c>
      <c r="Z21" s="288">
        <f t="shared" si="30"/>
        <v>0</v>
      </c>
      <c r="AA21" s="288">
        <f t="shared" si="31"/>
        <v>0</v>
      </c>
      <c r="AB21" s="288">
        <f t="shared" si="32"/>
        <v>0</v>
      </c>
      <c r="AC21" s="288">
        <f t="shared" si="33"/>
        <v>0</v>
      </c>
      <c r="AD21" s="58">
        <f>IF($C21="","",VLOOKUP($C21,CTBat!$G$10:$BR$208,AD$4,FALSE))</f>
        <v>6</v>
      </c>
      <c r="AE21" s="37">
        <f>IF($C21="","",VLOOKUP($C21,CTBat!$G$10:$BR$208,AE$4,FALSE))</f>
        <v>5</v>
      </c>
      <c r="AF21" s="37">
        <f>IF($C21="","",VLOOKUP($C21,CTBat!$G$10:$BR$208,AF$4,FALSE))</f>
        <v>4</v>
      </c>
      <c r="AG21" s="37">
        <f>IF($C21="","",VLOOKUP($C21,CTBat!$G$10:$BR$208,AG$4,FALSE))</f>
        <v>3</v>
      </c>
      <c r="AH21" s="37">
        <f>IF($C21="","",VLOOKUP($C21,CTBat!$G$10:$BR$208,AH$4,FALSE))</f>
        <v>3</v>
      </c>
      <c r="AI21" s="37">
        <f>IF($C21="","",VLOOKUP($C21,CTBat!$G$10:$BR$208,AI$4,FALSE))</f>
        <v>2</v>
      </c>
      <c r="AJ21" s="38">
        <f>IF($C21="","",VLOOKUP($C21,CTBat!$G$10:$BR$208,AJ$4,FALSE))</f>
        <v>5</v>
      </c>
      <c r="AK21" s="67">
        <f t="shared" ref="AK21:AK27" si="47">IF($C21="","",(5*AD21+4*AF21+3*AG21+2*AE21+1*AH21+0.5*(AVERAGE(AD21:AE21))+0.5*AVERAGE(AD21,AH21)+1*(AVERAGE(AD21,AF21))+1*AVERAGE(AD21,AG21))/(5+4+3+2+1+0.5+0.5+1+1))</f>
        <v>4.583333333333333</v>
      </c>
      <c r="AL21" s="288">
        <f t="shared" si="34"/>
        <v>0</v>
      </c>
      <c r="AM21" s="288">
        <f t="shared" si="35"/>
        <v>1</v>
      </c>
      <c r="AN21" s="288">
        <f t="shared" si="36"/>
        <v>0</v>
      </c>
      <c r="AO21" s="288">
        <f t="shared" si="37"/>
        <v>1</v>
      </c>
      <c r="AP21" s="288">
        <f t="shared" si="38"/>
        <v>1</v>
      </c>
      <c r="AQ21" s="288">
        <f t="shared" si="39"/>
        <v>1</v>
      </c>
      <c r="AR21" s="288">
        <f t="shared" si="40"/>
        <v>1</v>
      </c>
      <c r="AS21" s="288">
        <f t="shared" si="41"/>
        <v>1</v>
      </c>
      <c r="AT21" s="288">
        <f t="shared" si="42"/>
        <v>1</v>
      </c>
      <c r="AU21" s="58">
        <f>IF($C21="","",VLOOKUP($C21,CTBat!$G$10:$BR$208,AU$4,FALSE))</f>
        <v>9</v>
      </c>
      <c r="AV21" s="37">
        <f>IF($C21="","",VLOOKUP($C21,CTBat!$G$10:$BR$208,AV$4,FALSE))</f>
        <v>5</v>
      </c>
      <c r="AW21" s="37">
        <f>IF($C21="","",VLOOKUP($C21,CTBat!$G$10:$BR$208,AW$4,FALSE))</f>
        <v>8</v>
      </c>
      <c r="AX21" s="37">
        <f>IF($C21="","",VLOOKUP($C21,CTBat!$G$10:$BR$208,AX$4,FALSE))</f>
        <v>5</v>
      </c>
      <c r="AY21" s="38">
        <f>IF($C21="","",VLOOKUP($C21,CTBat!$G$10:$BR$208,AY$4,FALSE))</f>
        <v>5</v>
      </c>
      <c r="AZ21" s="67">
        <f t="shared" si="43"/>
        <v>7.1944444444444446</v>
      </c>
    </row>
    <row r="22" spans="1:52">
      <c r="A22">
        <v>3</v>
      </c>
      <c r="B22" s="36" t="s">
        <v>100</v>
      </c>
      <c r="C22" s="37" t="s">
        <v>460</v>
      </c>
      <c r="D22" s="37">
        <f>IF($C22="","",VLOOKUP($C22,CTBat!$G$10:$BR$208,D$4,FALSE))</f>
        <v>23</v>
      </c>
      <c r="E22" s="37" t="str">
        <f>IF($C22="","",VLOOKUP($C22,CTBat!$G$10:$BR$208,E$4,FALSE))</f>
        <v>R</v>
      </c>
      <c r="F22" s="53">
        <f t="shared" si="44"/>
        <v>0</v>
      </c>
      <c r="G22" s="288">
        <f t="shared" si="25"/>
        <v>1</v>
      </c>
      <c r="H22" s="288">
        <f t="shared" ref="H22:H27" si="48">IF($C22="","",IF(AND(K22&gt;5,P22&lt;&gt;"-"),1,0))</f>
        <v>1</v>
      </c>
      <c r="I22" s="289" t="str">
        <f t="shared" si="45"/>
        <v>-</v>
      </c>
      <c r="J22" s="37">
        <f>IF($C22="","",VLOOKUP($C22,CTBat!$G$10:$BR$208,J$4,FALSE))</f>
        <v>1</v>
      </c>
      <c r="K22" s="37">
        <f>IF($C22="","",VLOOKUP($C22,CTBat!$G$10:$BR$208,K$4,FALSE))</f>
        <v>9</v>
      </c>
      <c r="L22" s="37">
        <f>IF($C22="","",VLOOKUP($C22,CTBat!$G$10:$BR$208,L$4,FALSE))</f>
        <v>8</v>
      </c>
      <c r="M22" s="58" t="str">
        <f>IF($C22="","",VLOOKUP($C22,CTBat!$G$10:$BR$208,M$4,FALSE))</f>
        <v>-</v>
      </c>
      <c r="N22" s="37">
        <f>IF($C22="","",VLOOKUP($C22,CTBat!$G$10:$BR$208,N$4,FALSE))</f>
        <v>9</v>
      </c>
      <c r="O22" s="37">
        <f>IF($C22="","",VLOOKUP($C22,CTBat!$G$10:$BR$208,O$4,FALSE))</f>
        <v>6</v>
      </c>
      <c r="P22" s="37">
        <f>IF($C22="","",VLOOKUP($C22,CTBat!$G$10:$BR$208,P$4,FALSE))</f>
        <v>8</v>
      </c>
      <c r="Q22" s="37">
        <f>IF($C22="","",VLOOKUP($C22,CTBat!$G$10:$BR$208,Q$4,FALSE))</f>
        <v>7</v>
      </c>
      <c r="R22" s="37">
        <f>IF($C22="","",VLOOKUP($C22,CTBat!$G$10:$BR$208,R$4,FALSE))</f>
        <v>6</v>
      </c>
      <c r="S22" s="37" t="str">
        <f>IF($C22="","",VLOOKUP($C22,CTBat!$G$10:$BR$208,S$4,FALSE))</f>
        <v>-</v>
      </c>
      <c r="T22" s="38" t="str">
        <f>IF($C22="","",VLOOKUP($C22,CTBat!$G$10:$BR$208,T$4,FALSE))</f>
        <v>-</v>
      </c>
      <c r="U22" s="288">
        <f>IF($C22="","",IF(OR(AD22+AG22&gt;14,AND(OR(AD22+AG22&gt;12,AND(AD22&gt;6,AG22&gt;6)),AI22&gt;6,OR(AJ22&gt;=AI22,AJ22&gt;6))),1,0))</f>
        <v>0</v>
      </c>
      <c r="V22" s="288">
        <f t="shared" si="27"/>
        <v>0</v>
      </c>
      <c r="W22" s="288">
        <f t="shared" si="46"/>
        <v>0</v>
      </c>
      <c r="X22" s="288">
        <f t="shared" si="28"/>
        <v>0</v>
      </c>
      <c r="Y22" s="288">
        <f t="shared" si="29"/>
        <v>0</v>
      </c>
      <c r="Z22" s="288">
        <f t="shared" si="30"/>
        <v>0</v>
      </c>
      <c r="AA22" s="288">
        <f t="shared" si="31"/>
        <v>0</v>
      </c>
      <c r="AB22" s="288">
        <f t="shared" si="32"/>
        <v>0</v>
      </c>
      <c r="AC22" s="288">
        <f t="shared" si="33"/>
        <v>0</v>
      </c>
      <c r="AD22" s="58">
        <f>IF($C22="","",VLOOKUP($C22,CTBat!$G$10:$BR$208,AD$4,FALSE))</f>
        <v>5</v>
      </c>
      <c r="AE22" s="37">
        <f>IF($C22="","",VLOOKUP($C22,CTBat!$G$10:$BR$208,AE$4,FALSE))</f>
        <v>6</v>
      </c>
      <c r="AF22" s="37">
        <f>IF($C22="","",VLOOKUP($C22,CTBat!$G$10:$BR$208,AF$4,FALSE))</f>
        <v>4</v>
      </c>
      <c r="AG22" s="37">
        <f>IF($C22="","",VLOOKUP($C22,CTBat!$G$10:$BR$208,AG$4,FALSE))</f>
        <v>5</v>
      </c>
      <c r="AH22" s="37">
        <f>IF($C22="","",VLOOKUP($C22,CTBat!$G$10:$BR$208,AH$4,FALSE))</f>
        <v>4</v>
      </c>
      <c r="AI22" s="37">
        <f>IF($C22="","",VLOOKUP($C22,CTBat!$G$10:$BR$208,AI$4,FALSE))</f>
        <v>7</v>
      </c>
      <c r="AJ22" s="38">
        <f>IF($C22="","",VLOOKUP($C22,CTBat!$G$10:$BR$208,AJ$4,FALSE))</f>
        <v>8</v>
      </c>
      <c r="AK22" s="67">
        <f t="shared" si="47"/>
        <v>4.8055555555555554</v>
      </c>
      <c r="AL22" s="288">
        <f t="shared" si="34"/>
        <v>0</v>
      </c>
      <c r="AM22" s="288">
        <f t="shared" si="35"/>
        <v>0</v>
      </c>
      <c r="AN22" s="288">
        <f t="shared" si="36"/>
        <v>0</v>
      </c>
      <c r="AO22" s="288">
        <f t="shared" si="37"/>
        <v>0</v>
      </c>
      <c r="AP22" s="288">
        <f t="shared" si="38"/>
        <v>0</v>
      </c>
      <c r="AQ22" s="288">
        <f t="shared" si="39"/>
        <v>0</v>
      </c>
      <c r="AR22" s="288">
        <f t="shared" si="40"/>
        <v>0</v>
      </c>
      <c r="AS22" s="288">
        <f t="shared" si="41"/>
        <v>0</v>
      </c>
      <c r="AT22" s="288">
        <f t="shared" si="42"/>
        <v>0</v>
      </c>
      <c r="AU22" s="58">
        <f>IF($C22="","",VLOOKUP($C22,CTBat!$G$10:$BR$208,AU$4,FALSE))</f>
        <v>5</v>
      </c>
      <c r="AV22" s="37">
        <f>IF($C22="","",VLOOKUP($C22,CTBat!$G$10:$BR$208,AV$4,FALSE))</f>
        <v>6</v>
      </c>
      <c r="AW22" s="37">
        <f>IF($C22="","",VLOOKUP($C22,CTBat!$G$10:$BR$208,AW$4,FALSE))</f>
        <v>5</v>
      </c>
      <c r="AX22" s="37">
        <f>IF($C22="","",VLOOKUP($C22,CTBat!$G$10:$BR$208,AX$4,FALSE))</f>
        <v>6</v>
      </c>
      <c r="AY22" s="38">
        <f>IF($C22="","",VLOOKUP($C22,CTBat!$G$10:$BR$208,AY$4,FALSE))</f>
        <v>4</v>
      </c>
      <c r="AZ22" s="67">
        <f t="shared" si="43"/>
        <v>5.25</v>
      </c>
    </row>
    <row r="23" spans="1:52">
      <c r="A23">
        <v>4</v>
      </c>
      <c r="B23" s="36" t="s">
        <v>104</v>
      </c>
      <c r="C23" s="65" t="s">
        <v>402</v>
      </c>
      <c r="D23" s="37">
        <f>IF($C23="","",VLOOKUP($C23,CTBat!$G$10:$BR$208,D$4,FALSE))</f>
        <v>24</v>
      </c>
      <c r="E23" s="37" t="str">
        <f>IF($C23="","",VLOOKUP($C23,CTBat!$G$10:$BR$208,E$4,FALSE))</f>
        <v>R</v>
      </c>
      <c r="F23" s="53">
        <f t="shared" si="44"/>
        <v>0</v>
      </c>
      <c r="G23" s="288">
        <f t="shared" si="25"/>
        <v>1</v>
      </c>
      <c r="H23" s="288">
        <f t="shared" si="48"/>
        <v>1</v>
      </c>
      <c r="I23" s="289" t="str">
        <f t="shared" si="45"/>
        <v>-</v>
      </c>
      <c r="J23" s="37">
        <f>IF($C23="","",VLOOKUP($C23,CTBat!$G$10:$BR$208,J$4,FALSE))</f>
        <v>1</v>
      </c>
      <c r="K23" s="37">
        <f>IF($C23="","",VLOOKUP($C23,CTBat!$G$10:$BR$208,K$4,FALSE))</f>
        <v>7</v>
      </c>
      <c r="L23" s="37">
        <f>IF($C23="","",VLOOKUP($C23,CTBat!$G$10:$BR$208,L$4,FALSE))</f>
        <v>1</v>
      </c>
      <c r="M23" s="58" t="str">
        <f>IF($C23="","",VLOOKUP($C23,CTBat!$G$10:$BR$208,M$4,FALSE))</f>
        <v>-</v>
      </c>
      <c r="N23" s="37">
        <f>IF($C23="","",VLOOKUP($C23,CTBat!$G$10:$BR$208,N$4,FALSE))</f>
        <v>10</v>
      </c>
      <c r="O23" s="37">
        <f>IF($C23="","",VLOOKUP($C23,CTBat!$G$10:$BR$208,O$4,FALSE))</f>
        <v>10</v>
      </c>
      <c r="P23" s="37">
        <f>IF($C23="","",VLOOKUP($C23,CTBat!$G$10:$BR$208,P$4,FALSE))</f>
        <v>9</v>
      </c>
      <c r="Q23" s="37">
        <f>IF($C23="","",VLOOKUP($C23,CTBat!$G$10:$BR$208,Q$4,FALSE))</f>
        <v>8</v>
      </c>
      <c r="R23" s="37" t="str">
        <f>IF($C23="","",VLOOKUP($C23,CTBat!$G$10:$BR$208,R$4,FALSE))</f>
        <v>-</v>
      </c>
      <c r="S23" s="37" t="str">
        <f>IF($C23="","",VLOOKUP($C23,CTBat!$G$10:$BR$208,S$4,FALSE))</f>
        <v>-</v>
      </c>
      <c r="T23" s="38" t="str">
        <f>IF($C23="","",VLOOKUP($C23,CTBat!$G$10:$BR$208,T$4,FALSE))</f>
        <v>-</v>
      </c>
      <c r="U23" s="288">
        <f t="shared" ref="U23:U27" si="49">IF($C23="","",IF(OR(AD23+AG23&gt;14,AND(OR(AD23+AG23&gt;12,AND(AD23&gt;6,AG23&gt;6)),AI23&gt;6,OR(AJ23&gt;=AI23,AJ23&gt;6))),1,0))</f>
        <v>0</v>
      </c>
      <c r="V23" s="288">
        <f t="shared" si="27"/>
        <v>0</v>
      </c>
      <c r="W23" s="288">
        <f t="shared" si="46"/>
        <v>0</v>
      </c>
      <c r="X23" s="288">
        <f t="shared" si="28"/>
        <v>0</v>
      </c>
      <c r="Y23" s="288">
        <f t="shared" si="29"/>
        <v>0</v>
      </c>
      <c r="Z23" s="288">
        <f t="shared" si="30"/>
        <v>0</v>
      </c>
      <c r="AA23" s="288">
        <f t="shared" si="31"/>
        <v>0</v>
      </c>
      <c r="AB23" s="288">
        <f t="shared" si="32"/>
        <v>0</v>
      </c>
      <c r="AC23" s="288">
        <f t="shared" si="33"/>
        <v>0</v>
      </c>
      <c r="AD23" s="58">
        <f>IF($C23="","",VLOOKUP($C23,CTBat!$G$10:$BR$208,AD$4,FALSE))</f>
        <v>5</v>
      </c>
      <c r="AE23" s="37">
        <f>IF($C23="","",VLOOKUP($C23,CTBat!$G$10:$BR$208,AE$4,FALSE))</f>
        <v>3</v>
      </c>
      <c r="AF23" s="37">
        <f>IF($C23="","",VLOOKUP($C23,CTBat!$G$10:$BR$208,AF$4,FALSE))</f>
        <v>1</v>
      </c>
      <c r="AG23" s="37">
        <f>IF($C23="","",VLOOKUP($C23,CTBat!$G$10:$BR$208,AG$4,FALSE))</f>
        <v>3</v>
      </c>
      <c r="AH23" s="37">
        <f>IF($C23="","",VLOOKUP($C23,CTBat!$G$10:$BR$208,AH$4,FALSE))</f>
        <v>5</v>
      </c>
      <c r="AI23" s="37">
        <f>IF($C23="","",VLOOKUP($C23,CTBat!$G$10:$BR$208,AI$4,FALSE))</f>
        <v>6</v>
      </c>
      <c r="AJ23" s="38">
        <f>IF($C23="","",VLOOKUP($C23,CTBat!$G$10:$BR$208,AJ$4,FALSE))</f>
        <v>8</v>
      </c>
      <c r="AK23" s="67">
        <f t="shared" si="47"/>
        <v>3.3611111111111112</v>
      </c>
      <c r="AL23" s="288">
        <f t="shared" si="34"/>
        <v>0</v>
      </c>
      <c r="AM23" s="288">
        <f t="shared" si="35"/>
        <v>0</v>
      </c>
      <c r="AN23" s="288">
        <f t="shared" si="36"/>
        <v>0</v>
      </c>
      <c r="AO23" s="288">
        <f t="shared" si="37"/>
        <v>0</v>
      </c>
      <c r="AP23" s="288">
        <f t="shared" si="38"/>
        <v>0</v>
      </c>
      <c r="AQ23" s="288">
        <f t="shared" si="39"/>
        <v>0</v>
      </c>
      <c r="AR23" s="288">
        <f t="shared" si="40"/>
        <v>0</v>
      </c>
      <c r="AS23" s="288">
        <f t="shared" si="41"/>
        <v>0</v>
      </c>
      <c r="AT23" s="288">
        <f t="shared" si="42"/>
        <v>0</v>
      </c>
      <c r="AU23" s="58">
        <f>IF($C23="","",VLOOKUP($C23,CTBat!$G$10:$BR$208,AU$4,FALSE))</f>
        <v>5</v>
      </c>
      <c r="AV23" s="37">
        <f>IF($C23="","",VLOOKUP($C23,CTBat!$G$10:$BR$208,AV$4,FALSE))</f>
        <v>3</v>
      </c>
      <c r="AW23" s="37">
        <f>IF($C23="","",VLOOKUP($C23,CTBat!$G$10:$BR$208,AW$4,FALSE))</f>
        <v>2</v>
      </c>
      <c r="AX23" s="37">
        <f>IF($C23="","",VLOOKUP($C23,CTBat!$G$10:$BR$208,AX$4,FALSE))</f>
        <v>4</v>
      </c>
      <c r="AY23" s="38">
        <f>IF($C23="","",VLOOKUP($C23,CTBat!$G$10:$BR$208,AY$4,FALSE))</f>
        <v>5</v>
      </c>
      <c r="AZ23" s="67">
        <f t="shared" si="43"/>
        <v>3.8055555555555554</v>
      </c>
    </row>
    <row r="24" spans="1:52">
      <c r="A24">
        <v>5</v>
      </c>
      <c r="B24" s="36" t="s">
        <v>104</v>
      </c>
      <c r="C24" s="65"/>
      <c r="D24" s="37" t="str">
        <f>IF($C24="","",VLOOKUP($C24,CTBat!$G$10:$BR$208,D$4,FALSE))</f>
        <v/>
      </c>
      <c r="E24" s="37" t="str">
        <f>IF($C24="","",VLOOKUP($C24,CTBat!$G$10:$BR$208,E$4,FALSE))</f>
        <v/>
      </c>
      <c r="F24" s="53" t="str">
        <f t="shared" si="44"/>
        <v/>
      </c>
      <c r="G24" s="288" t="str">
        <f t="shared" si="25"/>
        <v/>
      </c>
      <c r="H24" s="288" t="str">
        <f t="shared" si="48"/>
        <v/>
      </c>
      <c r="I24" s="289" t="str">
        <f t="shared" si="45"/>
        <v/>
      </c>
      <c r="J24" s="37" t="str">
        <f>IF($C24="","",VLOOKUP($C24,CTBat!$G$10:$BR$208,J$4,FALSE))</f>
        <v/>
      </c>
      <c r="K24" s="37" t="str">
        <f>IF($C24="","",VLOOKUP($C24,CTBat!$G$10:$BR$208,K$4,FALSE))</f>
        <v/>
      </c>
      <c r="L24" s="37" t="str">
        <f>IF($C24="","",VLOOKUP($C24,CTBat!$G$10:$BR$208,L$4,FALSE))</f>
        <v/>
      </c>
      <c r="M24" s="58" t="str">
        <f>IF($C24="","",VLOOKUP($C24,CTBat!$G$10:$BR$208,M$4,FALSE))</f>
        <v/>
      </c>
      <c r="N24" s="37" t="str">
        <f>IF($C24="","",VLOOKUP($C24,CTBat!$G$10:$BR$208,N$4,FALSE))</f>
        <v/>
      </c>
      <c r="O24" s="37" t="str">
        <f>IF($C24="","",VLOOKUP($C24,CTBat!$G$10:$BR$208,O$4,FALSE))</f>
        <v/>
      </c>
      <c r="P24" s="37" t="str">
        <f>IF($C24="","",VLOOKUP($C24,CTBat!$G$10:$BR$208,P$4,FALSE))</f>
        <v/>
      </c>
      <c r="Q24" s="37" t="str">
        <f>IF($C24="","",VLOOKUP($C24,CTBat!$G$10:$BR$208,Q$4,FALSE))</f>
        <v/>
      </c>
      <c r="R24" s="37" t="str">
        <f>IF($C24="","",VLOOKUP($C24,CTBat!$G$10:$BR$208,R$4,FALSE))</f>
        <v/>
      </c>
      <c r="S24" s="37" t="str">
        <f>IF($C24="","",VLOOKUP($C24,CTBat!$G$10:$BR$208,S$4,FALSE))</f>
        <v/>
      </c>
      <c r="T24" s="38" t="str">
        <f>IF($C24="","",VLOOKUP($C24,CTBat!$G$10:$BR$208,T$4,FALSE))</f>
        <v/>
      </c>
      <c r="U24" s="288" t="str">
        <f t="shared" si="49"/>
        <v/>
      </c>
      <c r="V24" s="288" t="str">
        <f t="shared" si="27"/>
        <v/>
      </c>
      <c r="W24" s="288" t="str">
        <f t="shared" si="46"/>
        <v/>
      </c>
      <c r="X24" s="288" t="str">
        <f t="shared" si="28"/>
        <v/>
      </c>
      <c r="Y24" s="288" t="str">
        <f t="shared" si="29"/>
        <v/>
      </c>
      <c r="Z24" s="288" t="str">
        <f t="shared" si="30"/>
        <v/>
      </c>
      <c r="AA24" s="288" t="str">
        <f t="shared" si="31"/>
        <v/>
      </c>
      <c r="AB24" s="288" t="str">
        <f t="shared" si="32"/>
        <v/>
      </c>
      <c r="AC24" s="288" t="str">
        <f t="shared" si="33"/>
        <v/>
      </c>
      <c r="AD24" s="58" t="str">
        <f>IF($C24="","",VLOOKUP($C24,CTBat!$G$10:$BR$208,AD$4,FALSE))</f>
        <v/>
      </c>
      <c r="AE24" s="37" t="str">
        <f>IF($C24="","",VLOOKUP($C24,CTBat!$G$10:$BR$208,AE$4,FALSE))</f>
        <v/>
      </c>
      <c r="AF24" s="37" t="str">
        <f>IF($C24="","",VLOOKUP($C24,CTBat!$G$10:$BR$208,AF$4,FALSE))</f>
        <v/>
      </c>
      <c r="AG24" s="37" t="str">
        <f>IF($C24="","",VLOOKUP($C24,CTBat!$G$10:$BR$208,AG$4,FALSE))</f>
        <v/>
      </c>
      <c r="AH24" s="37" t="str">
        <f>IF($C24="","",VLOOKUP($C24,CTBat!$G$10:$BR$208,AH$4,FALSE))</f>
        <v/>
      </c>
      <c r="AI24" s="37" t="str">
        <f>IF($C24="","",VLOOKUP($C24,CTBat!$G$10:$BR$208,AI$4,FALSE))</f>
        <v/>
      </c>
      <c r="AJ24" s="38" t="str">
        <f>IF($C24="","",VLOOKUP($C24,CTBat!$G$10:$BR$208,AJ$4,FALSE))</f>
        <v/>
      </c>
      <c r="AK24" s="67" t="str">
        <f t="shared" si="47"/>
        <v/>
      </c>
      <c r="AL24" s="288" t="str">
        <f t="shared" si="34"/>
        <v/>
      </c>
      <c r="AM24" s="288" t="str">
        <f t="shared" si="35"/>
        <v/>
      </c>
      <c r="AN24" s="288" t="str">
        <f t="shared" si="36"/>
        <v/>
      </c>
      <c r="AO24" s="288" t="str">
        <f t="shared" si="37"/>
        <v/>
      </c>
      <c r="AP24" s="288" t="str">
        <f t="shared" si="38"/>
        <v/>
      </c>
      <c r="AQ24" s="288" t="str">
        <f t="shared" si="39"/>
        <v/>
      </c>
      <c r="AR24" s="288" t="str">
        <f t="shared" si="40"/>
        <v/>
      </c>
      <c r="AS24" s="288" t="str">
        <f t="shared" si="41"/>
        <v/>
      </c>
      <c r="AT24" s="288" t="str">
        <f t="shared" si="42"/>
        <v/>
      </c>
      <c r="AU24" s="58" t="str">
        <f>IF($C24="","",VLOOKUP($C24,CTBat!$G$10:$BR$208,AU$4,FALSE))</f>
        <v/>
      </c>
      <c r="AV24" s="37" t="str">
        <f>IF($C24="","",VLOOKUP($C24,CTBat!$G$10:$BR$208,AV$4,FALSE))</f>
        <v/>
      </c>
      <c r="AW24" s="37" t="str">
        <f>IF($C24="","",VLOOKUP($C24,CTBat!$G$10:$BR$208,AW$4,FALSE))</f>
        <v/>
      </c>
      <c r="AX24" s="37" t="str">
        <f>IF($C24="","",VLOOKUP($C24,CTBat!$G$10:$BR$208,AX$4,FALSE))</f>
        <v/>
      </c>
      <c r="AY24" s="38" t="str">
        <f>IF($C24="","",VLOOKUP($C24,CTBat!$G$10:$BR$208,AY$4,FALSE))</f>
        <v/>
      </c>
      <c r="AZ24" s="67" t="str">
        <f t="shared" si="43"/>
        <v/>
      </c>
    </row>
    <row r="25" spans="1:52">
      <c r="A25">
        <v>6</v>
      </c>
      <c r="B25" s="36" t="s">
        <v>104</v>
      </c>
      <c r="C25" s="65"/>
      <c r="D25" s="37" t="str">
        <f>IF($C25="","",VLOOKUP($C25,CTBat!$G$10:$BR$208,D$4,FALSE))</f>
        <v/>
      </c>
      <c r="E25" s="37" t="str">
        <f>IF($C25="","",VLOOKUP($C25,CTBat!$G$10:$BR$208,E$4,FALSE))</f>
        <v/>
      </c>
      <c r="F25" s="53" t="str">
        <f t="shared" si="44"/>
        <v/>
      </c>
      <c r="G25" s="288" t="str">
        <f t="shared" si="25"/>
        <v/>
      </c>
      <c r="H25" s="288" t="str">
        <f t="shared" si="48"/>
        <v/>
      </c>
      <c r="I25" s="289" t="str">
        <f t="shared" si="45"/>
        <v/>
      </c>
      <c r="J25" s="37" t="str">
        <f>IF($C25="","",VLOOKUP($C25,CTBat!$G$10:$BR$208,J$4,FALSE))</f>
        <v/>
      </c>
      <c r="K25" s="37" t="str">
        <f>IF($C25="","",VLOOKUP($C25,CTBat!$G$10:$BR$208,K$4,FALSE))</f>
        <v/>
      </c>
      <c r="L25" s="37" t="str">
        <f>IF($C25="","",VLOOKUP($C25,CTBat!$G$10:$BR$208,L$4,FALSE))</f>
        <v/>
      </c>
      <c r="M25" s="58" t="str">
        <f>IF($C25="","",VLOOKUP($C25,CTBat!$G$10:$BR$208,M$4,FALSE))</f>
        <v/>
      </c>
      <c r="N25" s="37" t="str">
        <f>IF($C25="","",VLOOKUP($C25,CTBat!$G$10:$BR$208,N$4,FALSE))</f>
        <v/>
      </c>
      <c r="O25" s="37" t="str">
        <f>IF($C25="","",VLOOKUP($C25,CTBat!$G$10:$BR$208,O$4,FALSE))</f>
        <v/>
      </c>
      <c r="P25" s="37" t="str">
        <f>IF($C25="","",VLOOKUP($C25,CTBat!$G$10:$BR$208,P$4,FALSE))</f>
        <v/>
      </c>
      <c r="Q25" s="37" t="str">
        <f>IF($C25="","",VLOOKUP($C25,CTBat!$G$10:$BR$208,Q$4,FALSE))</f>
        <v/>
      </c>
      <c r="R25" s="37" t="str">
        <f>IF($C25="","",VLOOKUP($C25,CTBat!$G$10:$BR$208,R$4,FALSE))</f>
        <v/>
      </c>
      <c r="S25" s="37" t="str">
        <f>IF($C25="","",VLOOKUP($C25,CTBat!$G$10:$BR$208,S$4,FALSE))</f>
        <v/>
      </c>
      <c r="T25" s="38" t="str">
        <f>IF($C25="","",VLOOKUP($C25,CTBat!$G$10:$BR$208,T$4,FALSE))</f>
        <v/>
      </c>
      <c r="U25" s="288" t="str">
        <f t="shared" si="49"/>
        <v/>
      </c>
      <c r="V25" s="288" t="str">
        <f t="shared" si="27"/>
        <v/>
      </c>
      <c r="W25" s="288" t="str">
        <f t="shared" si="46"/>
        <v/>
      </c>
      <c r="X25" s="288" t="str">
        <f t="shared" si="28"/>
        <v/>
      </c>
      <c r="Y25" s="288" t="str">
        <f t="shared" si="29"/>
        <v/>
      </c>
      <c r="Z25" s="288" t="str">
        <f t="shared" si="30"/>
        <v/>
      </c>
      <c r="AA25" s="288" t="str">
        <f t="shared" si="31"/>
        <v/>
      </c>
      <c r="AB25" s="288" t="str">
        <f t="shared" si="32"/>
        <v/>
      </c>
      <c r="AC25" s="288" t="str">
        <f t="shared" si="33"/>
        <v/>
      </c>
      <c r="AD25" s="58" t="str">
        <f>IF($C25="","",VLOOKUP($C25,CTBat!$G$10:$BR$208,AD$4,FALSE))</f>
        <v/>
      </c>
      <c r="AE25" s="37" t="str">
        <f>IF($C25="","",VLOOKUP($C25,CTBat!$G$10:$BR$208,AE$4,FALSE))</f>
        <v/>
      </c>
      <c r="AF25" s="37" t="str">
        <f>IF($C25="","",VLOOKUP($C25,CTBat!$G$10:$BR$208,AF$4,FALSE))</f>
        <v/>
      </c>
      <c r="AG25" s="37" t="str">
        <f>IF($C25="","",VLOOKUP($C25,CTBat!$G$10:$BR$208,AG$4,FALSE))</f>
        <v/>
      </c>
      <c r="AH25" s="37" t="str">
        <f>IF($C25="","",VLOOKUP($C25,CTBat!$G$10:$BR$208,AH$4,FALSE))</f>
        <v/>
      </c>
      <c r="AI25" s="37" t="str">
        <f>IF($C25="","",VLOOKUP($C25,CTBat!$G$10:$BR$208,AI$4,FALSE))</f>
        <v/>
      </c>
      <c r="AJ25" s="38" t="str">
        <f>IF($C25="","",VLOOKUP($C25,CTBat!$G$10:$BR$208,AJ$4,FALSE))</f>
        <v/>
      </c>
      <c r="AK25" s="67" t="str">
        <f t="shared" si="47"/>
        <v/>
      </c>
      <c r="AL25" s="288" t="str">
        <f t="shared" si="34"/>
        <v/>
      </c>
      <c r="AM25" s="288" t="str">
        <f t="shared" si="35"/>
        <v/>
      </c>
      <c r="AN25" s="288" t="str">
        <f t="shared" si="36"/>
        <v/>
      </c>
      <c r="AO25" s="288" t="str">
        <f t="shared" si="37"/>
        <v/>
      </c>
      <c r="AP25" s="288" t="str">
        <f t="shared" si="38"/>
        <v/>
      </c>
      <c r="AQ25" s="288" t="str">
        <f t="shared" si="39"/>
        <v/>
      </c>
      <c r="AR25" s="288" t="str">
        <f t="shared" si="40"/>
        <v/>
      </c>
      <c r="AS25" s="288" t="str">
        <f t="shared" si="41"/>
        <v/>
      </c>
      <c r="AT25" s="288" t="str">
        <f t="shared" si="42"/>
        <v/>
      </c>
      <c r="AU25" s="58" t="str">
        <f>IF($C25="","",VLOOKUP($C25,CTBat!$G$10:$BR$208,AU$4,FALSE))</f>
        <v/>
      </c>
      <c r="AV25" s="37" t="str">
        <f>IF($C25="","",VLOOKUP($C25,CTBat!$G$10:$BR$208,AV$4,FALSE))</f>
        <v/>
      </c>
      <c r="AW25" s="37" t="str">
        <f>IF($C25="","",VLOOKUP($C25,CTBat!$G$10:$BR$208,AW$4,FALSE))</f>
        <v/>
      </c>
      <c r="AX25" s="37" t="str">
        <f>IF($C25="","",VLOOKUP($C25,CTBat!$G$10:$BR$208,AX$4,FALSE))</f>
        <v/>
      </c>
      <c r="AY25" s="38" t="str">
        <f>IF($C25="","",VLOOKUP($C25,CTBat!$G$10:$BR$208,AY$4,FALSE))</f>
        <v/>
      </c>
      <c r="AZ25" s="67" t="str">
        <f t="shared" si="43"/>
        <v/>
      </c>
    </row>
    <row r="26" spans="1:52">
      <c r="A26">
        <v>7</v>
      </c>
      <c r="B26" s="36" t="s">
        <v>104</v>
      </c>
      <c r="C26" s="65"/>
      <c r="D26" s="37" t="str">
        <f>IF($C26="","",VLOOKUP($C26,CTBat!$G$10:$BR$208,D$4,FALSE))</f>
        <v/>
      </c>
      <c r="E26" s="37" t="str">
        <f>IF($C26="","",VLOOKUP($C26,CTBat!$G$10:$BR$208,E$4,FALSE))</f>
        <v/>
      </c>
      <c r="F26" s="53" t="str">
        <f t="shared" si="44"/>
        <v/>
      </c>
      <c r="G26" s="288" t="str">
        <f t="shared" si="25"/>
        <v/>
      </c>
      <c r="H26" s="288" t="str">
        <f t="shared" si="48"/>
        <v/>
      </c>
      <c r="I26" s="289" t="str">
        <f t="shared" si="45"/>
        <v/>
      </c>
      <c r="J26" s="37" t="str">
        <f>IF($C26="","",VLOOKUP($C26,CTBat!$G$10:$BR$208,J$4,FALSE))</f>
        <v/>
      </c>
      <c r="K26" s="37" t="str">
        <f>IF($C26="","",VLOOKUP($C26,CTBat!$G$10:$BR$208,K$4,FALSE))</f>
        <v/>
      </c>
      <c r="L26" s="37" t="str">
        <f>IF($C26="","",VLOOKUP($C26,CTBat!$G$10:$BR$208,L$4,FALSE))</f>
        <v/>
      </c>
      <c r="M26" s="58" t="str">
        <f>IF($C26="","",VLOOKUP($C26,CTBat!$G$10:$BR$208,M$4,FALSE))</f>
        <v/>
      </c>
      <c r="N26" s="37" t="str">
        <f>IF($C26="","",VLOOKUP($C26,CTBat!$G$10:$BR$208,N$4,FALSE))</f>
        <v/>
      </c>
      <c r="O26" s="37" t="str">
        <f>IF($C26="","",VLOOKUP($C26,CTBat!$G$10:$BR$208,O$4,FALSE))</f>
        <v/>
      </c>
      <c r="P26" s="37" t="str">
        <f>IF($C26="","",VLOOKUP($C26,CTBat!$G$10:$BR$208,P$4,FALSE))</f>
        <v/>
      </c>
      <c r="Q26" s="37" t="str">
        <f>IF($C26="","",VLOOKUP($C26,CTBat!$G$10:$BR$208,Q$4,FALSE))</f>
        <v/>
      </c>
      <c r="R26" s="37" t="str">
        <f>IF($C26="","",VLOOKUP($C26,CTBat!$G$10:$BR$208,R$4,FALSE))</f>
        <v/>
      </c>
      <c r="S26" s="37" t="str">
        <f>IF($C26="","",VLOOKUP($C26,CTBat!$G$10:$BR$208,S$4,FALSE))</f>
        <v/>
      </c>
      <c r="T26" s="38" t="str">
        <f>IF($C26="","",VLOOKUP($C26,CTBat!$G$10:$BR$208,T$4,FALSE))</f>
        <v/>
      </c>
      <c r="U26" s="288" t="str">
        <f t="shared" si="49"/>
        <v/>
      </c>
      <c r="V26" s="288" t="str">
        <f t="shared" si="27"/>
        <v/>
      </c>
      <c r="W26" s="288" t="str">
        <f t="shared" si="46"/>
        <v/>
      </c>
      <c r="X26" s="288" t="str">
        <f t="shared" si="28"/>
        <v/>
      </c>
      <c r="Y26" s="288" t="str">
        <f t="shared" si="29"/>
        <v/>
      </c>
      <c r="Z26" s="288" t="str">
        <f t="shared" si="30"/>
        <v/>
      </c>
      <c r="AA26" s="288" t="str">
        <f t="shared" si="31"/>
        <v/>
      </c>
      <c r="AB26" s="288" t="str">
        <f t="shared" si="32"/>
        <v/>
      </c>
      <c r="AC26" s="288" t="str">
        <f t="shared" si="33"/>
        <v/>
      </c>
      <c r="AD26" s="58" t="str">
        <f>IF($C26="","",VLOOKUP($C26,CTBat!$G$10:$BR$208,AD$4,FALSE))</f>
        <v/>
      </c>
      <c r="AE26" s="37" t="str">
        <f>IF($C26="","",VLOOKUP($C26,CTBat!$G$10:$BR$208,AE$4,FALSE))</f>
        <v/>
      </c>
      <c r="AF26" s="37" t="str">
        <f>IF($C26="","",VLOOKUP($C26,CTBat!$G$10:$BR$208,AF$4,FALSE))</f>
        <v/>
      </c>
      <c r="AG26" s="37" t="str">
        <f>IF($C26="","",VLOOKUP($C26,CTBat!$G$10:$BR$208,AG$4,FALSE))</f>
        <v/>
      </c>
      <c r="AH26" s="37" t="str">
        <f>IF($C26="","",VLOOKUP($C26,CTBat!$G$10:$BR$208,AH$4,FALSE))</f>
        <v/>
      </c>
      <c r="AI26" s="37" t="str">
        <f>IF($C26="","",VLOOKUP($C26,CTBat!$G$10:$BR$208,AI$4,FALSE))</f>
        <v/>
      </c>
      <c r="AJ26" s="38" t="str">
        <f>IF($C26="","",VLOOKUP($C26,CTBat!$G$10:$BR$208,AJ$4,FALSE))</f>
        <v/>
      </c>
      <c r="AK26" s="67" t="str">
        <f t="shared" si="47"/>
        <v/>
      </c>
      <c r="AL26" s="288" t="str">
        <f t="shared" si="34"/>
        <v/>
      </c>
      <c r="AM26" s="288" t="str">
        <f t="shared" si="35"/>
        <v/>
      </c>
      <c r="AN26" s="288" t="str">
        <f t="shared" si="36"/>
        <v/>
      </c>
      <c r="AO26" s="288" t="str">
        <f t="shared" si="37"/>
        <v/>
      </c>
      <c r="AP26" s="288" t="str">
        <f t="shared" si="38"/>
        <v/>
      </c>
      <c r="AQ26" s="288" t="str">
        <f t="shared" si="39"/>
        <v/>
      </c>
      <c r="AR26" s="288" t="str">
        <f t="shared" si="40"/>
        <v/>
      </c>
      <c r="AS26" s="288" t="str">
        <f t="shared" si="41"/>
        <v/>
      </c>
      <c r="AT26" s="288" t="str">
        <f t="shared" si="42"/>
        <v/>
      </c>
      <c r="AU26" s="58" t="str">
        <f>IF($C26="","",VLOOKUP($C26,CTBat!$G$10:$BR$208,AU$4,FALSE))</f>
        <v/>
      </c>
      <c r="AV26" s="37" t="str">
        <f>IF($C26="","",VLOOKUP($C26,CTBat!$G$10:$BR$208,AV$4,FALSE))</f>
        <v/>
      </c>
      <c r="AW26" s="37" t="str">
        <f>IF($C26="","",VLOOKUP($C26,CTBat!$G$10:$BR$208,AW$4,FALSE))</f>
        <v/>
      </c>
      <c r="AX26" s="37" t="str">
        <f>IF($C26="","",VLOOKUP($C26,CTBat!$G$10:$BR$208,AX$4,FALSE))</f>
        <v/>
      </c>
      <c r="AY26" s="38" t="str">
        <f>IF($C26="","",VLOOKUP($C26,CTBat!$G$10:$BR$208,AY$4,FALSE))</f>
        <v/>
      </c>
      <c r="AZ26" s="67" t="str">
        <f t="shared" si="43"/>
        <v/>
      </c>
    </row>
    <row r="27" spans="1:52">
      <c r="A27">
        <v>8</v>
      </c>
      <c r="B27" s="39" t="s">
        <v>104</v>
      </c>
      <c r="C27" s="40"/>
      <c r="D27" s="40" t="str">
        <f>IF($C27="","",VLOOKUP($C27,CTBat!$G$10:$BR$208,D$4,FALSE))</f>
        <v/>
      </c>
      <c r="E27" s="40" t="str">
        <f>IF($C27="","",VLOOKUP($C27,CTBat!$G$10:$BR$208,E$4,FALSE))</f>
        <v/>
      </c>
      <c r="F27" s="54" t="str">
        <f t="shared" si="44"/>
        <v/>
      </c>
      <c r="G27" s="286" t="str">
        <f>IF($C27="","",IF(Q27&lt;&gt;"-",1,0))</f>
        <v/>
      </c>
      <c r="H27" s="286" t="str">
        <f t="shared" si="48"/>
        <v/>
      </c>
      <c r="I27" s="287" t="str">
        <f t="shared" si="45"/>
        <v/>
      </c>
      <c r="J27" s="40" t="str">
        <f>IF($C27="","",VLOOKUP($C27,CTBat!$G$10:$BR$208,J$4,FALSE))</f>
        <v/>
      </c>
      <c r="K27" s="40" t="str">
        <f>IF($C27="","",VLOOKUP($C27,CTBat!$G$10:$BR$208,K$4,FALSE))</f>
        <v/>
      </c>
      <c r="L27" s="40" t="str">
        <f>IF($C27="","",VLOOKUP($C27,CTBat!$G$10:$BR$208,L$4,FALSE))</f>
        <v/>
      </c>
      <c r="M27" s="59" t="str">
        <f>IF($C27="","",VLOOKUP($C27,CTBat!$G$10:$BR$208,M$4,FALSE))</f>
        <v/>
      </c>
      <c r="N27" s="40" t="str">
        <f>IF($C27="","",VLOOKUP($C27,CTBat!$G$10:$BR$208,N$4,FALSE))</f>
        <v/>
      </c>
      <c r="O27" s="40" t="str">
        <f>IF($C27="","",VLOOKUP($C27,CTBat!$G$10:$BR$208,O$4,FALSE))</f>
        <v/>
      </c>
      <c r="P27" s="40" t="str">
        <f>IF($C27="","",VLOOKUP($C27,CTBat!$G$10:$BR$208,P$4,FALSE))</f>
        <v/>
      </c>
      <c r="Q27" s="40" t="str">
        <f>IF($C27="","",VLOOKUP($C27,CTBat!$G$10:$BR$208,Q$4,FALSE))</f>
        <v/>
      </c>
      <c r="R27" s="40" t="str">
        <f>IF($C27="","",VLOOKUP($C27,CTBat!$G$10:$BR$208,R$4,FALSE))</f>
        <v/>
      </c>
      <c r="S27" s="40" t="str">
        <f>IF($C27="","",VLOOKUP($C27,CTBat!$G$10:$BR$208,S$4,FALSE))</f>
        <v/>
      </c>
      <c r="T27" s="42" t="str">
        <f>IF($C27="","",VLOOKUP($C27,CTBat!$G$10:$BR$208,T$4,FALSE))</f>
        <v/>
      </c>
      <c r="U27" s="286" t="str">
        <f t="shared" si="49"/>
        <v/>
      </c>
      <c r="V27" s="286" t="str">
        <f t="shared" si="27"/>
        <v/>
      </c>
      <c r="W27" s="286" t="str">
        <f t="shared" si="46"/>
        <v/>
      </c>
      <c r="X27" s="286" t="str">
        <f t="shared" si="28"/>
        <v/>
      </c>
      <c r="Y27" s="286" t="str">
        <f t="shared" si="29"/>
        <v/>
      </c>
      <c r="Z27" s="286" t="str">
        <f t="shared" si="30"/>
        <v/>
      </c>
      <c r="AA27" s="286" t="str">
        <f t="shared" si="31"/>
        <v/>
      </c>
      <c r="AB27" s="286" t="str">
        <f t="shared" si="32"/>
        <v/>
      </c>
      <c r="AC27" s="286" t="str">
        <f t="shared" si="33"/>
        <v/>
      </c>
      <c r="AD27" s="59" t="str">
        <f>IF($C27="","",VLOOKUP($C27,CTBat!$G$10:$BR$208,AD$4,FALSE))</f>
        <v/>
      </c>
      <c r="AE27" s="40" t="str">
        <f>IF($C27="","",VLOOKUP($C27,CTBat!$G$10:$BR$208,AE$4,FALSE))</f>
        <v/>
      </c>
      <c r="AF27" s="40" t="str">
        <f>IF($C27="","",VLOOKUP($C27,CTBat!$G$10:$BR$208,AF$4,FALSE))</f>
        <v/>
      </c>
      <c r="AG27" s="40" t="str">
        <f>IF($C27="","",VLOOKUP($C27,CTBat!$G$10:$BR$208,AG$4,FALSE))</f>
        <v/>
      </c>
      <c r="AH27" s="40" t="str">
        <f>IF($C27="","",VLOOKUP($C27,CTBat!$G$10:$BR$208,AH$4,FALSE))</f>
        <v/>
      </c>
      <c r="AI27" s="40" t="str">
        <f>IF($C27="","",VLOOKUP($C27,CTBat!$G$10:$BR$208,AI$4,FALSE))</f>
        <v/>
      </c>
      <c r="AJ27" s="42" t="str">
        <f>IF($C27="","",VLOOKUP($C27,CTBat!$G$10:$BR$208,AJ$4,FALSE))</f>
        <v/>
      </c>
      <c r="AK27" s="68" t="str">
        <f t="shared" si="47"/>
        <v/>
      </c>
      <c r="AL27" s="286" t="str">
        <f t="shared" si="34"/>
        <v/>
      </c>
      <c r="AM27" s="286" t="str">
        <f t="shared" si="35"/>
        <v/>
      </c>
      <c r="AN27" s="286" t="str">
        <f t="shared" si="36"/>
        <v/>
      </c>
      <c r="AO27" s="286" t="str">
        <f t="shared" si="37"/>
        <v/>
      </c>
      <c r="AP27" s="286" t="str">
        <f t="shared" si="38"/>
        <v/>
      </c>
      <c r="AQ27" s="286" t="str">
        <f t="shared" si="39"/>
        <v/>
      </c>
      <c r="AR27" s="286" t="str">
        <f t="shared" si="40"/>
        <v/>
      </c>
      <c r="AS27" s="286" t="str">
        <f t="shared" si="41"/>
        <v/>
      </c>
      <c r="AT27" s="286" t="str">
        <f t="shared" si="42"/>
        <v/>
      </c>
      <c r="AU27" s="59" t="str">
        <f>IF($C27="","",VLOOKUP($C27,CTBat!$G$10:$BR$208,AU$4,FALSE))</f>
        <v/>
      </c>
      <c r="AV27" s="40" t="str">
        <f>IF($C27="","",VLOOKUP($C27,CTBat!$G$10:$BR$208,AV$4,FALSE))</f>
        <v/>
      </c>
      <c r="AW27" s="40" t="str">
        <f>IF($C27="","",VLOOKUP($C27,CTBat!$G$10:$BR$208,AW$4,FALSE))</f>
        <v/>
      </c>
      <c r="AX27" s="40" t="str">
        <f>IF($C27="","",VLOOKUP($C27,CTBat!$G$10:$BR$208,AX$4,FALSE))</f>
        <v/>
      </c>
      <c r="AY27" s="42" t="str">
        <f>IF($C27="","",VLOOKUP($C27,CTBat!$G$10:$BR$208,AY$4,FALSE))</f>
        <v/>
      </c>
      <c r="AZ27" s="68" t="str">
        <f t="shared" si="43"/>
        <v/>
      </c>
    </row>
    <row r="29" spans="1:52" ht="196.5">
      <c r="A29" s="25" t="s">
        <v>196</v>
      </c>
      <c r="B29" s="283" t="s">
        <v>136</v>
      </c>
      <c r="C29" s="44" t="str">
        <f>"Player ("&amp;COUNTA(C30:C33)&amp;")"</f>
        <v>Player (2)</v>
      </c>
      <c r="D29" s="44" t="s">
        <v>94</v>
      </c>
      <c r="E29" s="44" t="s">
        <v>104</v>
      </c>
      <c r="F29" s="64" t="str">
        <f>"Strong C Arm ("&amp;SUM(F30:F33)&amp;")"</f>
        <v>Strong C Arm (2)</v>
      </c>
      <c r="G29" s="48" t="s">
        <v>41</v>
      </c>
      <c r="H29" s="48" t="s">
        <v>41</v>
      </c>
      <c r="I29" s="48" t="s">
        <v>41</v>
      </c>
      <c r="J29" s="55" t="s">
        <v>139</v>
      </c>
      <c r="K29" s="47" t="s">
        <v>137</v>
      </c>
      <c r="L29" s="56" t="s">
        <v>138</v>
      </c>
      <c r="M29" s="48" t="s">
        <v>95</v>
      </c>
      <c r="N29" s="48" t="s">
        <v>97</v>
      </c>
      <c r="O29" s="48" t="s">
        <v>98</v>
      </c>
      <c r="P29" s="48" t="s">
        <v>99</v>
      </c>
      <c r="Q29" s="48" t="s">
        <v>100</v>
      </c>
      <c r="R29" s="48" t="s">
        <v>101</v>
      </c>
      <c r="S29" s="48" t="s">
        <v>102</v>
      </c>
      <c r="T29" s="49" t="s">
        <v>103</v>
      </c>
      <c r="U29" s="45" t="s">
        <v>140</v>
      </c>
      <c r="V29" s="45" t="s">
        <v>184</v>
      </c>
      <c r="W29" s="45" t="s">
        <v>141</v>
      </c>
      <c r="X29" s="45" t="s">
        <v>142</v>
      </c>
      <c r="Y29" s="45" t="s">
        <v>143</v>
      </c>
      <c r="Z29" s="45" t="s">
        <v>144</v>
      </c>
      <c r="AA29" s="45" t="s">
        <v>145</v>
      </c>
      <c r="AB29" s="45" t="s">
        <v>147</v>
      </c>
      <c r="AC29" s="60" t="s">
        <v>146</v>
      </c>
      <c r="AD29" s="48" t="s">
        <v>150</v>
      </c>
      <c r="AE29" s="48" t="s">
        <v>151</v>
      </c>
      <c r="AF29" s="48" t="s">
        <v>152</v>
      </c>
      <c r="AG29" s="48" t="s">
        <v>153</v>
      </c>
      <c r="AH29" s="48" t="s">
        <v>29</v>
      </c>
      <c r="AI29" s="48" t="s">
        <v>154</v>
      </c>
      <c r="AJ29" s="49" t="s">
        <v>155</v>
      </c>
      <c r="AK29" s="66" t="s">
        <v>160</v>
      </c>
      <c r="AL29" s="45" t="s">
        <v>140</v>
      </c>
      <c r="AM29" s="45" t="s">
        <v>184</v>
      </c>
      <c r="AN29" s="45" t="s">
        <v>141</v>
      </c>
      <c r="AO29" s="45" t="s">
        <v>142</v>
      </c>
      <c r="AP29" s="45" t="s">
        <v>143</v>
      </c>
      <c r="AQ29" s="45" t="s">
        <v>144</v>
      </c>
      <c r="AR29" s="45" t="s">
        <v>145</v>
      </c>
      <c r="AS29" s="45" t="s">
        <v>147</v>
      </c>
      <c r="AT29" s="60" t="s">
        <v>146</v>
      </c>
      <c r="AU29" s="63" t="s">
        <v>150</v>
      </c>
      <c r="AV29" s="48" t="s">
        <v>151</v>
      </c>
      <c r="AW29" s="48" t="s">
        <v>152</v>
      </c>
      <c r="AX29" s="48" t="s">
        <v>153</v>
      </c>
      <c r="AY29" s="49" t="s">
        <v>29</v>
      </c>
      <c r="AZ29" s="66" t="s">
        <v>201</v>
      </c>
    </row>
    <row r="30" spans="1:52">
      <c r="A30">
        <v>1</v>
      </c>
      <c r="B30" s="36" t="s">
        <v>95</v>
      </c>
      <c r="C30" s="37" t="s">
        <v>504</v>
      </c>
      <c r="D30" s="37">
        <f>IF($C30="","",VLOOKUP($C30,CTBat!$G$10:$BR$208,D$4,FALSE))</f>
        <v>23</v>
      </c>
      <c r="E30" s="37" t="str">
        <f>IF($C30="","",VLOOKUP($C30,CTBat!$G$10:$BR$208,E$4,FALSE))</f>
        <v>R</v>
      </c>
      <c r="F30" s="53">
        <f>IF($C30="","",IF(J30&gt;5,1,0))</f>
        <v>1</v>
      </c>
      <c r="G30" s="288" t="str">
        <f t="shared" ref="G30:H33" si="50">IF($C30="","","-")</f>
        <v>-</v>
      </c>
      <c r="H30" s="288" t="str">
        <f t="shared" si="50"/>
        <v>-</v>
      </c>
      <c r="I30" s="288" t="str">
        <f>IF($C30="","","-")</f>
        <v>-</v>
      </c>
      <c r="J30" s="58">
        <f>IF($C30="","",VLOOKUP($C30,CTBat!$G$10:$BR$208,J$4,FALSE))</f>
        <v>8</v>
      </c>
      <c r="K30" s="37">
        <f>IF($C30="","",VLOOKUP($C30,CTBat!$G$10:$BR$208,K$4,FALSE))</f>
        <v>6</v>
      </c>
      <c r="L30" s="38">
        <f>IF($C30="","",VLOOKUP($C30,CTBat!$G$10:$BR$208,L$4,FALSE))</f>
        <v>6</v>
      </c>
      <c r="M30" s="37">
        <f>IF($C30="","",VLOOKUP($C30,CTBat!$G$10:$BR$208,M$4,FALSE))</f>
        <v>4</v>
      </c>
      <c r="N30" s="37" t="str">
        <f>IF($C30="","",VLOOKUP($C30,CTBat!$G$10:$BR$208,N$4,FALSE))</f>
        <v>-</v>
      </c>
      <c r="O30" s="37" t="str">
        <f>IF($C30="","",VLOOKUP($C30,CTBat!$G$10:$BR$208,O$4,FALSE))</f>
        <v>-</v>
      </c>
      <c r="P30" s="37" t="str">
        <f>IF($C30="","",VLOOKUP($C30,CTBat!$G$10:$BR$208,P$4,FALSE))</f>
        <v>-</v>
      </c>
      <c r="Q30" s="37" t="str">
        <f>IF($C30="","",VLOOKUP($C30,CTBat!$G$10:$BR$208,Q$4,FALSE))</f>
        <v>-</v>
      </c>
      <c r="R30" s="37">
        <f>IF($C30="","",VLOOKUP($C30,CTBat!$G$10:$BR$208,R$4,FALSE))</f>
        <v>2</v>
      </c>
      <c r="S30" s="37" t="str">
        <f>IF($C30="","",VLOOKUP($C30,CTBat!$G$10:$BR$208,S$4,FALSE))</f>
        <v>-</v>
      </c>
      <c r="T30" s="38" t="str">
        <f>IF($C30="","",VLOOKUP($C30,CTBat!$G$10:$BR$208,T$4,FALSE))</f>
        <v>-</v>
      </c>
      <c r="U30" s="288">
        <f t="shared" ref="U30:U33" si="51">IF($C30="","",IF(OR(AD30+AG30&gt;14,AND(OR(AD30+AG30&gt;12,AND(AD30&gt;6,AG30&gt;6)),AI30&gt;6,OR(AJ30&gt;=AI30,AJ30&gt;6))),1,0))</f>
        <v>0</v>
      </c>
      <c r="V30" s="288">
        <f t="shared" ref="V30:V33" si="52">IF($C30="","",IF(OR(AND(AD30&gt;6,AH30&gt;6),AD30+AG30&gt;12),1,0))</f>
        <v>0</v>
      </c>
      <c r="W30" s="288">
        <f t="shared" ref="W30:W33" si="53">IF($C30="","",IF(AND(AD30&gt;6,AF30&gt;6,AG30&gt;6),1,0))</f>
        <v>0</v>
      </c>
      <c r="X30" s="288">
        <f t="shared" ref="X30:X33" si="54">IF($C30="","",IF(AND(AF30&gt;7,OR(AD30&gt;6,AG30&gt;6)),1,0))</f>
        <v>0</v>
      </c>
      <c r="Y30" s="288">
        <f t="shared" ref="Y30:Y33" si="55">IF($C30="","",IF(AND(AF30&gt;6,OR(AD30&gt;6,AG30&gt;6)),1,0))</f>
        <v>0</v>
      </c>
      <c r="Z30" s="288">
        <f t="shared" ref="Z30:Z33" si="56">IF($C30="","",IF(AND(OR(AD30&gt;6,AF30&gt;6),OR(AD30&gt;6,AG30&gt;6)),1,0))</f>
        <v>0</v>
      </c>
      <c r="AA30" s="288">
        <f t="shared" ref="AA30:AA33" si="57">IF($C30="","",IF(AND(AD30&gt;4,OR(AD30&gt;6,AF30&gt;6,AG30&gt;6)),1,0))</f>
        <v>0</v>
      </c>
      <c r="AB30" s="288">
        <f t="shared" ref="AB30:AB33" si="58">IF($C30="","",IF(AND(AD30&gt;4,OR(AD30&gt;6,AE30&gt;6,AF30&gt;6,AG30&gt;6)),1,0))</f>
        <v>0</v>
      </c>
      <c r="AC30" s="289">
        <f t="shared" ref="AC30:AC33" si="59">IF($C30="","",IF(AND(AD30&gt;4,MAX(AD30:AH30)&gt;6),1,0))</f>
        <v>0</v>
      </c>
      <c r="AD30" s="37">
        <f>IF($C30="","",VLOOKUP($C30,CTBat!$G$10:$BR$208,AD$4,FALSE))</f>
        <v>5</v>
      </c>
      <c r="AE30" s="37">
        <f>IF($C30="","",VLOOKUP($C30,CTBat!$G$10:$BR$208,AE$4,FALSE))</f>
        <v>3</v>
      </c>
      <c r="AF30" s="37">
        <f>IF($C30="","",VLOOKUP($C30,CTBat!$G$10:$BR$208,AF$4,FALSE))</f>
        <v>4</v>
      </c>
      <c r="AG30" s="37">
        <f>IF($C30="","",VLOOKUP($C30,CTBat!$G$10:$BR$208,AG$4,FALSE))</f>
        <v>4</v>
      </c>
      <c r="AH30" s="37">
        <f>IF($C30="","",VLOOKUP($C30,CTBat!$G$10:$BR$208,AH$4,FALSE))</f>
        <v>4</v>
      </c>
      <c r="AI30" s="37">
        <f>IF($C30="","",VLOOKUP($C30,CTBat!$G$10:$BR$208,AI$4,FALSE))</f>
        <v>2</v>
      </c>
      <c r="AJ30" s="38">
        <f>IF($C30="","",VLOOKUP($C30,CTBat!$G$10:$BR$208,AJ$4,FALSE))</f>
        <v>3</v>
      </c>
      <c r="AK30" s="67">
        <f>IF($C30="","",(5*AD30+4*AF30+3*AG30+2*AE30+1*AH30+0.5*(AVERAGE(AD30:AE30))+0.5*AVERAGE(AD30,AH30)+1*(AVERAGE(AD30,AF30))+1*AVERAGE(AD30,AG30))/(5+4+3+2+1+0.5+0.5+1+1))</f>
        <v>4.2361111111111107</v>
      </c>
      <c r="AL30" s="288">
        <f t="shared" ref="AL30:AL33" si="60">IF($C30="","",IF(AND(OR(AU30+AX30&gt;12,AND(AU30&gt;6,AX30&gt;6)),AI30&gt;6,OR(AJ30&gt;=AI30,AJ30&gt;6)),1,0))</f>
        <v>0</v>
      </c>
      <c r="AM30" s="288">
        <f t="shared" ref="AM30:AM33" si="61">IF($C30="","",IF(OR(AND(AU30&gt;6,AY30&gt;6),AU30+AX30&gt;12),1,0))</f>
        <v>0</v>
      </c>
      <c r="AN30" s="288">
        <f t="shared" ref="AN30:AN33" si="62">IF($C30="","",IF(AND(AU30&gt;6,AW30&gt;6,AX30&gt;6),1,0))</f>
        <v>0</v>
      </c>
      <c r="AO30" s="288">
        <f t="shared" ref="AO30:AO33" si="63">IF($C30="","",IF(AND(AW30&gt;7,OR(AU30&gt;6,AX30&gt;6)),1,0))</f>
        <v>0</v>
      </c>
      <c r="AP30" s="288">
        <f t="shared" ref="AP30:AP33" si="64">IF($C30="","",IF(AND(AW30&gt;6,OR(AU30&gt;6,AX30&gt;6)),1,0))</f>
        <v>0</v>
      </c>
      <c r="AQ30" s="288">
        <f t="shared" ref="AQ30:AQ33" si="65">IF($C30="","",IF(AND(OR(AU30&gt;6,AW30&gt;6),OR(AU30&gt;6,AX30&gt;6)),1,0))</f>
        <v>0</v>
      </c>
      <c r="AR30" s="288">
        <f t="shared" ref="AR30:AR33" si="66">IF($C30="","",IF(AND(AU30&gt;4,OR(AU30&gt;6,AW30&gt;6,AX30&gt;6)),1,0))</f>
        <v>0</v>
      </c>
      <c r="AS30" s="288">
        <f t="shared" ref="AS30:AS33" si="67">IF($C30="","",IF(AND(AU30&gt;4,OR(AU30&gt;6,AV30&gt;6,AW30&gt;6,AX30&gt;6)),1,0))</f>
        <v>0</v>
      </c>
      <c r="AT30" s="289">
        <f t="shared" ref="AT30:AT33" si="68">IF($C30="","",IF(AND(AU30&gt;4,MAX(AU30:AY30)&gt;6),1,0))</f>
        <v>0</v>
      </c>
      <c r="AU30" s="58">
        <f>IF($C30="","",VLOOKUP($C30,CTBat!$G$10:$BR$208,AU$4,FALSE))</f>
        <v>5</v>
      </c>
      <c r="AV30" s="37">
        <f>IF($C30="","",VLOOKUP($C30,CTBat!$G$10:$BR$208,AV$4,FALSE))</f>
        <v>3</v>
      </c>
      <c r="AW30" s="37">
        <f>IF($C30="","",VLOOKUP($C30,CTBat!$G$10:$BR$208,AW$4,FALSE))</f>
        <v>5</v>
      </c>
      <c r="AX30" s="37">
        <f>IF($C30="","",VLOOKUP($C30,CTBat!$G$10:$BR$208,AX$4,FALSE))</f>
        <v>4</v>
      </c>
      <c r="AY30" s="38">
        <f>IF($C30="","",VLOOKUP($C30,CTBat!$G$10:$BR$208,AY$4,FALSE))</f>
        <v>4</v>
      </c>
      <c r="AZ30" s="67">
        <f t="shared" ref="AZ30:AZ33" si="69">IF($C30="","",(5*AU30+4*AW30+3*AX30+2*AV30+1*AY30+0.5*(AVERAGE(AU30:AV30))+0.5*AVERAGE(AU30,AY30)+1*(AVERAGE(AU30,AW30))+1*AVERAGE(AU30,AX30))/(5+4+3+2+1+0.5+0.5+1+1))</f>
        <v>4.4861111111111107</v>
      </c>
    </row>
    <row r="31" spans="1:52">
      <c r="A31">
        <v>2</v>
      </c>
      <c r="B31" s="36" t="s">
        <v>104</v>
      </c>
      <c r="C31" s="37" t="s">
        <v>506</v>
      </c>
      <c r="D31" s="37">
        <f>IF($C31="","",VLOOKUP($C31,CTBat!$G$10:$BR$208,D$4,FALSE))</f>
        <v>24</v>
      </c>
      <c r="E31" s="37" t="str">
        <f>IF($C31="","",VLOOKUP($C31,CTBat!$G$10:$BR$208,E$4,FALSE))</f>
        <v>R</v>
      </c>
      <c r="F31" s="53">
        <f>IF($C31="","",IF(J31&gt;5,1,0))</f>
        <v>1</v>
      </c>
      <c r="G31" s="288" t="str">
        <f t="shared" si="50"/>
        <v>-</v>
      </c>
      <c r="H31" s="288" t="str">
        <f t="shared" si="50"/>
        <v>-</v>
      </c>
      <c r="I31" s="288" t="str">
        <f>IF($C31="","","-")</f>
        <v>-</v>
      </c>
      <c r="J31" s="58">
        <f>IF($C31="","",VLOOKUP($C31,CTBat!$G$10:$BR$208,J$4,FALSE))</f>
        <v>9</v>
      </c>
      <c r="K31" s="37">
        <f>IF($C31="","",VLOOKUP($C31,CTBat!$G$10:$BR$208,K$4,FALSE))</f>
        <v>5</v>
      </c>
      <c r="L31" s="38">
        <f>IF($C31="","",VLOOKUP($C31,CTBat!$G$10:$BR$208,L$4,FALSE))</f>
        <v>5</v>
      </c>
      <c r="M31" s="37">
        <f>IF($C31="","",VLOOKUP($C31,CTBat!$G$10:$BR$208,M$4,FALSE))</f>
        <v>8</v>
      </c>
      <c r="N31" s="37">
        <f>IF($C31="","",VLOOKUP($C31,CTBat!$G$10:$BR$208,N$4,FALSE))</f>
        <v>1</v>
      </c>
      <c r="O31" s="37" t="str">
        <f>IF($C31="","",VLOOKUP($C31,CTBat!$G$10:$BR$208,O$4,FALSE))</f>
        <v>-</v>
      </c>
      <c r="P31" s="37">
        <f>IF($C31="","",VLOOKUP($C31,CTBat!$G$10:$BR$208,P$4,FALSE))</f>
        <v>1</v>
      </c>
      <c r="Q31" s="37" t="str">
        <f>IF($C31="","",VLOOKUP($C31,CTBat!$G$10:$BR$208,Q$4,FALSE))</f>
        <v>-</v>
      </c>
      <c r="R31" s="37" t="str">
        <f>IF($C31="","",VLOOKUP($C31,CTBat!$G$10:$BR$208,R$4,FALSE))</f>
        <v>-</v>
      </c>
      <c r="S31" s="37" t="str">
        <f>IF($C31="","",VLOOKUP($C31,CTBat!$G$10:$BR$208,S$4,FALSE))</f>
        <v>-</v>
      </c>
      <c r="T31" s="38" t="str">
        <f>IF($C31="","",VLOOKUP($C31,CTBat!$G$10:$BR$208,T$4,FALSE))</f>
        <v>-</v>
      </c>
      <c r="U31" s="288">
        <f t="shared" si="51"/>
        <v>0</v>
      </c>
      <c r="V31" s="288">
        <f t="shared" si="52"/>
        <v>0</v>
      </c>
      <c r="W31" s="288">
        <f t="shared" si="53"/>
        <v>0</v>
      </c>
      <c r="X31" s="288">
        <f t="shared" si="54"/>
        <v>0</v>
      </c>
      <c r="Y31" s="288">
        <f t="shared" si="55"/>
        <v>0</v>
      </c>
      <c r="Z31" s="288">
        <f t="shared" si="56"/>
        <v>0</v>
      </c>
      <c r="AA31" s="288">
        <f t="shared" si="57"/>
        <v>0</v>
      </c>
      <c r="AB31" s="288">
        <f t="shared" si="58"/>
        <v>0</v>
      </c>
      <c r="AC31" s="289">
        <f t="shared" si="59"/>
        <v>0</v>
      </c>
      <c r="AD31" s="37">
        <f>IF($C31="","",VLOOKUP($C31,CTBat!$G$10:$BR$208,AD$4,FALSE))</f>
        <v>5</v>
      </c>
      <c r="AE31" s="37">
        <f>IF($C31="","",VLOOKUP($C31,CTBat!$G$10:$BR$208,AE$4,FALSE))</f>
        <v>5</v>
      </c>
      <c r="AF31" s="37">
        <f>IF($C31="","",VLOOKUP($C31,CTBat!$G$10:$BR$208,AF$4,FALSE))</f>
        <v>3</v>
      </c>
      <c r="AG31" s="37">
        <f>IF($C31="","",VLOOKUP($C31,CTBat!$G$10:$BR$208,AG$4,FALSE))</f>
        <v>5</v>
      </c>
      <c r="AH31" s="37">
        <f>IF($C31="","",VLOOKUP($C31,CTBat!$G$10:$BR$208,AH$4,FALSE))</f>
        <v>3</v>
      </c>
      <c r="AI31" s="37">
        <f>IF($C31="","",VLOOKUP($C31,CTBat!$G$10:$BR$208,AI$4,FALSE))</f>
        <v>3</v>
      </c>
      <c r="AJ31" s="38">
        <f>IF($C31="","",VLOOKUP($C31,CTBat!$G$10:$BR$208,AJ$4,FALSE))</f>
        <v>2</v>
      </c>
      <c r="AK31" s="67">
        <f t="shared" ref="AK31:AK33" si="70">IF($C31="","",(5*AD31+4*AF31+3*AG31+2*AE31+1*AH31+0.5*(AVERAGE(AD31:AE31))+0.5*AVERAGE(AD31,AH31)+1*(AVERAGE(AD31,AF31))+1*AVERAGE(AD31,AG31))/(5+4+3+2+1+0.5+0.5+1+1))</f>
        <v>4.3611111111111107</v>
      </c>
      <c r="AL31" s="288">
        <f t="shared" si="60"/>
        <v>0</v>
      </c>
      <c r="AM31" s="288">
        <f t="shared" si="61"/>
        <v>0</v>
      </c>
      <c r="AN31" s="288">
        <f t="shared" si="62"/>
        <v>0</v>
      </c>
      <c r="AO31" s="288">
        <f t="shared" si="63"/>
        <v>0</v>
      </c>
      <c r="AP31" s="288">
        <f t="shared" si="64"/>
        <v>0</v>
      </c>
      <c r="AQ31" s="288">
        <f t="shared" si="65"/>
        <v>0</v>
      </c>
      <c r="AR31" s="288">
        <f t="shared" si="66"/>
        <v>0</v>
      </c>
      <c r="AS31" s="288">
        <f t="shared" si="67"/>
        <v>0</v>
      </c>
      <c r="AT31" s="289">
        <f t="shared" si="68"/>
        <v>0</v>
      </c>
      <c r="AU31" s="58">
        <f>IF($C31="","",VLOOKUP($C31,CTBat!$G$10:$BR$208,AU$4,FALSE))</f>
        <v>5</v>
      </c>
      <c r="AV31" s="37">
        <f>IF($C31="","",VLOOKUP($C31,CTBat!$G$10:$BR$208,AV$4,FALSE))</f>
        <v>5</v>
      </c>
      <c r="AW31" s="37">
        <f>IF($C31="","",VLOOKUP($C31,CTBat!$G$10:$BR$208,AW$4,FALSE))</f>
        <v>3</v>
      </c>
      <c r="AX31" s="37">
        <f>IF($C31="","",VLOOKUP($C31,CTBat!$G$10:$BR$208,AX$4,FALSE))</f>
        <v>5</v>
      </c>
      <c r="AY31" s="38">
        <f>IF($C31="","",VLOOKUP($C31,CTBat!$G$10:$BR$208,AY$4,FALSE))</f>
        <v>4</v>
      </c>
      <c r="AZ31" s="67">
        <f t="shared" si="69"/>
        <v>4.4305555555555554</v>
      </c>
    </row>
    <row r="32" spans="1:52">
      <c r="A32">
        <v>3</v>
      </c>
      <c r="B32" s="36" t="s">
        <v>104</v>
      </c>
      <c r="C32" s="37"/>
      <c r="D32" s="37" t="str">
        <f>IF($C32="","",VLOOKUP($C32,CTBat!$G$10:$BR$208,D$4,FALSE))</f>
        <v/>
      </c>
      <c r="E32" s="37" t="str">
        <f>IF($C32="","",VLOOKUP($C32,CTBat!$G$10:$BR$208,E$4,FALSE))</f>
        <v/>
      </c>
      <c r="F32" s="53" t="str">
        <f>IF($C32="","",IF(J32&gt;5,1,0))</f>
        <v/>
      </c>
      <c r="G32" s="288" t="str">
        <f t="shared" si="50"/>
        <v/>
      </c>
      <c r="H32" s="288" t="str">
        <f t="shared" si="50"/>
        <v/>
      </c>
      <c r="I32" s="288" t="str">
        <f>IF($C32="","","-")</f>
        <v/>
      </c>
      <c r="J32" s="58" t="str">
        <f>IF($C32="","",VLOOKUP($C32,CTBat!$G$10:$BR$208,J$4,FALSE))</f>
        <v/>
      </c>
      <c r="K32" s="37" t="str">
        <f>IF($C32="","",VLOOKUP($C32,CTBat!$G$10:$BR$208,K$4,FALSE))</f>
        <v/>
      </c>
      <c r="L32" s="38" t="str">
        <f>IF($C32="","",VLOOKUP($C32,CTBat!$G$10:$BR$208,L$4,FALSE))</f>
        <v/>
      </c>
      <c r="M32" s="37" t="str">
        <f>IF($C32="","",VLOOKUP($C32,CTBat!$G$10:$BR$208,M$4,FALSE))</f>
        <v/>
      </c>
      <c r="N32" s="37" t="str">
        <f>IF($C32="","",VLOOKUP($C32,CTBat!$G$10:$BR$208,N$4,FALSE))</f>
        <v/>
      </c>
      <c r="O32" s="37" t="str">
        <f>IF($C32="","",VLOOKUP($C32,CTBat!$G$10:$BR$208,O$4,FALSE))</f>
        <v/>
      </c>
      <c r="P32" s="37" t="str">
        <f>IF($C32="","",VLOOKUP($C32,CTBat!$G$10:$BR$208,P$4,FALSE))</f>
        <v/>
      </c>
      <c r="Q32" s="37" t="str">
        <f>IF($C32="","",VLOOKUP($C32,CTBat!$G$10:$BR$208,Q$4,FALSE))</f>
        <v/>
      </c>
      <c r="R32" s="37" t="str">
        <f>IF($C32="","",VLOOKUP($C32,CTBat!$G$10:$BR$208,R$4,FALSE))</f>
        <v/>
      </c>
      <c r="S32" s="37" t="str">
        <f>IF($C32="","",VLOOKUP($C32,CTBat!$G$10:$BR$208,S$4,FALSE))</f>
        <v/>
      </c>
      <c r="T32" s="38" t="str">
        <f>IF($C32="","",VLOOKUP($C32,CTBat!$G$10:$BR$208,T$4,FALSE))</f>
        <v/>
      </c>
      <c r="U32" s="288" t="str">
        <f t="shared" si="51"/>
        <v/>
      </c>
      <c r="V32" s="288" t="str">
        <f t="shared" si="52"/>
        <v/>
      </c>
      <c r="W32" s="288" t="str">
        <f t="shared" si="53"/>
        <v/>
      </c>
      <c r="X32" s="288" t="str">
        <f t="shared" si="54"/>
        <v/>
      </c>
      <c r="Y32" s="288" t="str">
        <f t="shared" si="55"/>
        <v/>
      </c>
      <c r="Z32" s="288" t="str">
        <f t="shared" si="56"/>
        <v/>
      </c>
      <c r="AA32" s="288" t="str">
        <f t="shared" si="57"/>
        <v/>
      </c>
      <c r="AB32" s="288" t="str">
        <f t="shared" si="58"/>
        <v/>
      </c>
      <c r="AC32" s="289" t="str">
        <f t="shared" si="59"/>
        <v/>
      </c>
      <c r="AD32" s="37" t="str">
        <f>IF($C32="","",VLOOKUP($C32,CTBat!$G$10:$BR$208,AD$4,FALSE))</f>
        <v/>
      </c>
      <c r="AE32" s="37" t="str">
        <f>IF($C32="","",VLOOKUP($C32,CTBat!$G$10:$BR$208,AE$4,FALSE))</f>
        <v/>
      </c>
      <c r="AF32" s="37" t="str">
        <f>IF($C32="","",VLOOKUP($C32,CTBat!$G$10:$BR$208,AF$4,FALSE))</f>
        <v/>
      </c>
      <c r="AG32" s="37" t="str">
        <f>IF($C32="","",VLOOKUP($C32,CTBat!$G$10:$BR$208,AG$4,FALSE))</f>
        <v/>
      </c>
      <c r="AH32" s="37" t="str">
        <f>IF($C32="","",VLOOKUP($C32,CTBat!$G$10:$BR$208,AH$4,FALSE))</f>
        <v/>
      </c>
      <c r="AI32" s="37" t="str">
        <f>IF($C32="","",VLOOKUP($C32,CTBat!$G$10:$BR$208,AI$4,FALSE))</f>
        <v/>
      </c>
      <c r="AJ32" s="38" t="str">
        <f>IF($C32="","",VLOOKUP($C32,CTBat!$G$10:$BR$208,AJ$4,FALSE))</f>
        <v/>
      </c>
      <c r="AK32" s="67" t="str">
        <f t="shared" si="70"/>
        <v/>
      </c>
      <c r="AL32" s="288" t="str">
        <f t="shared" si="60"/>
        <v/>
      </c>
      <c r="AM32" s="288" t="str">
        <f t="shared" si="61"/>
        <v/>
      </c>
      <c r="AN32" s="288" t="str">
        <f t="shared" si="62"/>
        <v/>
      </c>
      <c r="AO32" s="288" t="str">
        <f t="shared" si="63"/>
        <v/>
      </c>
      <c r="AP32" s="288" t="str">
        <f t="shared" si="64"/>
        <v/>
      </c>
      <c r="AQ32" s="288" t="str">
        <f t="shared" si="65"/>
        <v/>
      </c>
      <c r="AR32" s="288" t="str">
        <f t="shared" si="66"/>
        <v/>
      </c>
      <c r="AS32" s="288" t="str">
        <f t="shared" si="67"/>
        <v/>
      </c>
      <c r="AT32" s="289" t="str">
        <f t="shared" si="68"/>
        <v/>
      </c>
      <c r="AU32" s="58" t="str">
        <f>IF($C32="","",VLOOKUP($C32,CTBat!$G$10:$BR$208,AU$4,FALSE))</f>
        <v/>
      </c>
      <c r="AV32" s="37" t="str">
        <f>IF($C32="","",VLOOKUP($C32,CTBat!$G$10:$BR$208,AV$4,FALSE))</f>
        <v/>
      </c>
      <c r="AW32" s="37" t="str">
        <f>IF($C32="","",VLOOKUP($C32,CTBat!$G$10:$BR$208,AW$4,FALSE))</f>
        <v/>
      </c>
      <c r="AX32" s="37" t="str">
        <f>IF($C32="","",VLOOKUP($C32,CTBat!$G$10:$BR$208,AX$4,FALSE))</f>
        <v/>
      </c>
      <c r="AY32" s="38" t="str">
        <f>IF($C32="","",VLOOKUP($C32,CTBat!$G$10:$BR$208,AY$4,FALSE))</f>
        <v/>
      </c>
      <c r="AZ32" s="67" t="str">
        <f t="shared" si="69"/>
        <v/>
      </c>
    </row>
    <row r="33" spans="1:52">
      <c r="A33">
        <v>4</v>
      </c>
      <c r="B33" s="39" t="s">
        <v>104</v>
      </c>
      <c r="C33" s="40"/>
      <c r="D33" s="40" t="str">
        <f>IF($C33="","",VLOOKUP($C33,CTBat!$G$10:$BR$208,D$4,FALSE))</f>
        <v/>
      </c>
      <c r="E33" s="40" t="str">
        <f>IF($C33="","",VLOOKUP($C33,CTBat!$G$10:$BR$208,E$4,FALSE))</f>
        <v/>
      </c>
      <c r="F33" s="54" t="str">
        <f>IF($C33="","",IF(J33&gt;5,1,0))</f>
        <v/>
      </c>
      <c r="G33" s="286" t="str">
        <f t="shared" si="50"/>
        <v/>
      </c>
      <c r="H33" s="286" t="str">
        <f t="shared" si="50"/>
        <v/>
      </c>
      <c r="I33" s="286" t="str">
        <f>IF($C33="","","-")</f>
        <v/>
      </c>
      <c r="J33" s="59" t="str">
        <f>IF($C33="","",VLOOKUP($C33,CTBat!$G$10:$BR$208,J$4,FALSE))</f>
        <v/>
      </c>
      <c r="K33" s="40" t="str">
        <f>IF($C33="","",VLOOKUP($C33,CTBat!$G$10:$BR$208,K$4,FALSE))</f>
        <v/>
      </c>
      <c r="L33" s="42" t="str">
        <f>IF($C33="","",VLOOKUP($C33,CTBat!$G$10:$BR$208,L$4,FALSE))</f>
        <v/>
      </c>
      <c r="M33" s="40" t="str">
        <f>IF($C33="","",VLOOKUP($C33,CTBat!$G$10:$BR$208,M$4,FALSE))</f>
        <v/>
      </c>
      <c r="N33" s="40" t="str">
        <f>IF($C33="","",VLOOKUP($C33,CTBat!$G$10:$BR$208,N$4,FALSE))</f>
        <v/>
      </c>
      <c r="O33" s="40" t="str">
        <f>IF($C33="","",VLOOKUP($C33,CTBat!$G$10:$BR$208,O$4,FALSE))</f>
        <v/>
      </c>
      <c r="P33" s="40" t="str">
        <f>IF($C33="","",VLOOKUP($C33,CTBat!$G$10:$BR$208,P$4,FALSE))</f>
        <v/>
      </c>
      <c r="Q33" s="40" t="str">
        <f>IF($C33="","",VLOOKUP($C33,CTBat!$G$10:$BR$208,Q$4,FALSE))</f>
        <v/>
      </c>
      <c r="R33" s="40" t="str">
        <f>IF($C33="","",VLOOKUP($C33,CTBat!$G$10:$BR$208,R$4,FALSE))</f>
        <v/>
      </c>
      <c r="S33" s="40" t="str">
        <f>IF($C33="","",VLOOKUP($C33,CTBat!$G$10:$BR$208,S$4,FALSE))</f>
        <v/>
      </c>
      <c r="T33" s="42" t="str">
        <f>IF($C33="","",VLOOKUP($C33,CTBat!$G$10:$BR$208,T$4,FALSE))</f>
        <v/>
      </c>
      <c r="U33" s="286" t="str">
        <f t="shared" si="51"/>
        <v/>
      </c>
      <c r="V33" s="286" t="str">
        <f t="shared" si="52"/>
        <v/>
      </c>
      <c r="W33" s="286" t="str">
        <f t="shared" si="53"/>
        <v/>
      </c>
      <c r="X33" s="286" t="str">
        <f t="shared" si="54"/>
        <v/>
      </c>
      <c r="Y33" s="286" t="str">
        <f t="shared" si="55"/>
        <v/>
      </c>
      <c r="Z33" s="286" t="str">
        <f t="shared" si="56"/>
        <v/>
      </c>
      <c r="AA33" s="286" t="str">
        <f t="shared" si="57"/>
        <v/>
      </c>
      <c r="AB33" s="286" t="str">
        <f t="shared" si="58"/>
        <v/>
      </c>
      <c r="AC33" s="287" t="str">
        <f t="shared" si="59"/>
        <v/>
      </c>
      <c r="AD33" s="40" t="str">
        <f>IF($C33="","",VLOOKUP($C33,CTBat!$G$10:$BR$208,AD$4,FALSE))</f>
        <v/>
      </c>
      <c r="AE33" s="40" t="str">
        <f>IF($C33="","",VLOOKUP($C33,CTBat!$G$10:$BR$208,AE$4,FALSE))</f>
        <v/>
      </c>
      <c r="AF33" s="40" t="str">
        <f>IF($C33="","",VLOOKUP($C33,CTBat!$G$10:$BR$208,AF$4,FALSE))</f>
        <v/>
      </c>
      <c r="AG33" s="40" t="str">
        <f>IF($C33="","",VLOOKUP($C33,CTBat!$G$10:$BR$208,AG$4,FALSE))</f>
        <v/>
      </c>
      <c r="AH33" s="40" t="str">
        <f>IF($C33="","",VLOOKUP($C33,CTBat!$G$10:$BR$208,AH$4,FALSE))</f>
        <v/>
      </c>
      <c r="AI33" s="40" t="str">
        <f>IF($C33="","",VLOOKUP($C33,CTBat!$G$10:$BR$208,AI$4,FALSE))</f>
        <v/>
      </c>
      <c r="AJ33" s="42" t="str">
        <f>IF($C33="","",VLOOKUP($C33,CTBat!$G$10:$BR$208,AJ$4,FALSE))</f>
        <v/>
      </c>
      <c r="AK33" s="68" t="str">
        <f t="shared" si="70"/>
        <v/>
      </c>
      <c r="AL33" s="286" t="str">
        <f t="shared" si="60"/>
        <v/>
      </c>
      <c r="AM33" s="286" t="str">
        <f t="shared" si="61"/>
        <v/>
      </c>
      <c r="AN33" s="286" t="str">
        <f t="shared" si="62"/>
        <v/>
      </c>
      <c r="AO33" s="286" t="str">
        <f t="shared" si="63"/>
        <v/>
      </c>
      <c r="AP33" s="286" t="str">
        <f t="shared" si="64"/>
        <v/>
      </c>
      <c r="AQ33" s="286" t="str">
        <f t="shared" si="65"/>
        <v/>
      </c>
      <c r="AR33" s="286" t="str">
        <f t="shared" si="66"/>
        <v/>
      </c>
      <c r="AS33" s="286" t="str">
        <f t="shared" si="67"/>
        <v/>
      </c>
      <c r="AT33" s="287" t="str">
        <f t="shared" si="68"/>
        <v/>
      </c>
      <c r="AU33" s="59" t="str">
        <f>IF($C33="","",VLOOKUP($C33,CTBat!$G$10:$BR$208,AU$4,FALSE))</f>
        <v/>
      </c>
      <c r="AV33" s="40" t="str">
        <f>IF($C33="","",VLOOKUP($C33,CTBat!$G$10:$BR$208,AV$4,FALSE))</f>
        <v/>
      </c>
      <c r="AW33" s="40" t="str">
        <f>IF($C33="","",VLOOKUP($C33,CTBat!$G$10:$BR$208,AW$4,FALSE))</f>
        <v/>
      </c>
      <c r="AX33" s="40" t="str">
        <f>IF($C33="","",VLOOKUP($C33,CTBat!$G$10:$BR$208,AX$4,FALSE))</f>
        <v/>
      </c>
      <c r="AY33" s="42" t="str">
        <f>IF($C33="","",VLOOKUP($C33,CTBat!$G$10:$BR$208,AY$4,FALSE))</f>
        <v/>
      </c>
      <c r="AZ33" s="68" t="str">
        <f t="shared" si="69"/>
        <v/>
      </c>
    </row>
    <row r="35" spans="1:52" s="1" customFormat="1">
      <c r="B35" s="283" t="s">
        <v>158</v>
      </c>
      <c r="C35" s="44" t="s">
        <v>121</v>
      </c>
      <c r="D35" s="44" t="s">
        <v>122</v>
      </c>
      <c r="E35" s="50" t="s">
        <v>104</v>
      </c>
      <c r="F35" s="284" t="s">
        <v>159</v>
      </c>
      <c r="G35" s="284" t="s">
        <v>163</v>
      </c>
      <c r="H35" s="285" t="s">
        <v>161</v>
      </c>
      <c r="I35" s="88" t="s">
        <v>185</v>
      </c>
      <c r="J35" s="283" t="s">
        <v>95</v>
      </c>
      <c r="K35" s="284" t="s">
        <v>148</v>
      </c>
      <c r="L35" s="284" t="s">
        <v>149</v>
      </c>
      <c r="M35" s="284" t="s">
        <v>208</v>
      </c>
      <c r="N35" s="284" t="s">
        <v>96</v>
      </c>
      <c r="O35" s="283" t="s">
        <v>209</v>
      </c>
      <c r="P35" s="285" t="s">
        <v>210</v>
      </c>
      <c r="Q35" s="283" t="s">
        <v>218</v>
      </c>
      <c r="R35" s="87" t="s">
        <v>236</v>
      </c>
      <c r="T35" s="283" t="s">
        <v>122</v>
      </c>
      <c r="U35" s="283" t="s">
        <v>219</v>
      </c>
      <c r="V35" s="285" t="s">
        <v>243</v>
      </c>
      <c r="W35" s="284" t="s">
        <v>218</v>
      </c>
      <c r="X35" s="285" t="s">
        <v>236</v>
      </c>
      <c r="AG35" s="290" t="s">
        <v>361</v>
      </c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2"/>
    </row>
    <row r="36" spans="1:52">
      <c r="B36" s="36">
        <v>1</v>
      </c>
      <c r="C36" s="57"/>
      <c r="D36" s="33" t="s">
        <v>102</v>
      </c>
      <c r="E36" s="38" t="str">
        <f>IF($C36="","",VLOOKUP($C36,$C$6:$AK$33,$E$4-2,FALSE))</f>
        <v/>
      </c>
      <c r="F36" s="288" t="str">
        <f>IF($C36="","",VLOOKUP($C36,$C$6:$AK$33,18+$B36,FALSE))</f>
        <v/>
      </c>
      <c r="G36" s="288" t="str">
        <f>IF($C36="","",IF(VLOOKUP($C36,$C$6:$AK$33,18+3,FALSE)=1,3,IF(VLOOKUP($C36,$C$6:$AK$33,18+4,FALSE)=1,4,IF(VLOOKUP($C36,$C$6:$AK$33,18+1,FALSE)=1,1,IF(VLOOKUP($C36,$C$6:$AK$33,18+5,FALSE)=1,5,IF(VLOOKUP($C36,$C$6:$AK$33,18+2,FALSE)=1,2,IF(VLOOKUP($C36,$C$6:$AK$33,18+6,FALSE)=1,6,IF(VLOOKUP($C36,$C$6:$AK$33,18+7,FALSE)=1,7,IF(VLOOKUP($C36,$C$6:$AK$33,18+8,FALSE)=1,8,9)))))))))</f>
        <v/>
      </c>
      <c r="H36" s="8" t="str">
        <f>IF($C36="","",VLOOKUP($C36,$C$6:$AK$33,35,FALSE))</f>
        <v/>
      </c>
      <c r="I36" s="89">
        <v>3</v>
      </c>
      <c r="J36" s="53" t="str">
        <f>IF($C36="","",VLOOKUP($C36,$C$6:$AZ$33,17+AD$4,FALSE))</f>
        <v/>
      </c>
      <c r="K36" s="288" t="str">
        <f>IF($C36="","",VLOOKUP($C36,$C$6:$AZ$33,17+AE$4,FALSE))</f>
        <v/>
      </c>
      <c r="L36" s="288" t="str">
        <f>IF($C36="","",VLOOKUP($C36,$C$6:$AZ$33,17+AF$4,FALSE))</f>
        <v/>
      </c>
      <c r="M36" s="288" t="str">
        <f>IF($C36="","",VLOOKUP($C36,$C$6:$AZ$33,17+AG$4,FALSE))</f>
        <v/>
      </c>
      <c r="N36" s="288" t="str">
        <f>IF($C36="","",VLOOKUP($C36,$C$6:$AZ$33,17+AH$4,FALSE))</f>
        <v/>
      </c>
      <c r="O36" s="53" t="str">
        <f>IF($C36="","",VLOOKUP($C36,$C$6:$AZ$33,1+AI$4,FALSE))</f>
        <v/>
      </c>
      <c r="P36" s="289" t="str">
        <f>IF($C36="","",VLOOKUP($C36,$C$6:$AZ$33,1+AJ$4,FALSE))</f>
        <v/>
      </c>
      <c r="Q36" s="117" t="str">
        <f>IF($C36="","",IF($D36="DH","-",VLOOKUP($C36,$C$5:$AZ$33,9+VLOOKUP($D36,$T$35:$U$43,2,FALSE),FALSE)))</f>
        <v/>
      </c>
      <c r="R36" s="102" t="str">
        <f>IF($C36="","",IF($D36="DH","-",VLOOKUP($C36,$C$5:$AZ$33,VLOOKUP($D36,$T$35:$V$43,3,FALSE),FALSE)))</f>
        <v/>
      </c>
      <c r="T36" s="53" t="s">
        <v>95</v>
      </c>
      <c r="U36" s="53">
        <v>2</v>
      </c>
      <c r="V36" s="289">
        <v>8</v>
      </c>
      <c r="W36" s="288" t="str">
        <f>VLOOKUP($T36,$D$35:$R$44,14,FALSE)</f>
        <v/>
      </c>
      <c r="X36" s="289" t="str">
        <f>VLOOKUP($T36,$D$35:$R$44,15,FALSE)</f>
        <v/>
      </c>
      <c r="AG36" s="202">
        <v>1</v>
      </c>
      <c r="AH36" s="295" t="s">
        <v>356</v>
      </c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6"/>
    </row>
    <row r="37" spans="1:52">
      <c r="B37" s="36">
        <v>2</v>
      </c>
      <c r="C37" s="58"/>
      <c r="D37" s="37" t="s">
        <v>18</v>
      </c>
      <c r="E37" s="38" t="str">
        <f>IF($C37="","",VLOOKUP($C37,$C$6:$AK$33,$E$4-2,FALSE))</f>
        <v/>
      </c>
      <c r="F37" s="288" t="str">
        <f>IF($C37="","",VLOOKUP($C37,$C$6:$AK$33,18+$B37,FALSE))</f>
        <v/>
      </c>
      <c r="G37" s="288" t="str">
        <f>IF($C37="","",IF(VLOOKUP($C37,$C$6:$AK$33,18+3,FALSE)=1,3,IF(VLOOKUP($C37,$C$6:$AK$33,18+4,FALSE)=1,4,IF(VLOOKUP($C37,$C$6:$AK$33,18+1,FALSE)=1,1,IF(VLOOKUP($C37,$C$6:$AK$33,18+5,FALSE)=1,5,IF(VLOOKUP($C37,$C$6:$AK$33,18+2,FALSE)=1,2,IF(VLOOKUP($C37,$C$6:$AK$33,18+6,FALSE)=1,6,IF(VLOOKUP($C37,$C$6:$AK$33,18+7,FALSE)=1,7,IF(VLOOKUP($C37,$C$6:$AK$33,18+8,FALSE)=1,8,9)))))))))</f>
        <v/>
      </c>
      <c r="H37" s="8" t="str">
        <f>IF($C37="","",VLOOKUP($C37,$C$6:$AK$33,35,FALSE))</f>
        <v/>
      </c>
      <c r="I37" s="89">
        <v>5</v>
      </c>
      <c r="J37" s="53" t="str">
        <f>IF($C37="","",VLOOKUP($C37,$C$6:$AZ$33,17+AD$4,FALSE))</f>
        <v/>
      </c>
      <c r="K37" s="288" t="str">
        <f>IF($C37="","",VLOOKUP($C37,$C$6:$AZ$33,17+AE$4,FALSE))</f>
        <v/>
      </c>
      <c r="L37" s="288" t="str">
        <f>IF($C37="","",VLOOKUP($C37,$C$6:$AZ$33,17+AF$4,FALSE))</f>
        <v/>
      </c>
      <c r="M37" s="288" t="str">
        <f>IF($C37="","",VLOOKUP($C37,$C$6:$AZ$33,17+AG$4,FALSE))</f>
        <v/>
      </c>
      <c r="N37" s="288" t="str">
        <f>IF($C37="","",VLOOKUP($C37,$C$6:$AZ$33,17+AH$4,FALSE))</f>
        <v/>
      </c>
      <c r="O37" s="53" t="str">
        <f>IF($C37="","",VLOOKUP($C37,$C$6:$AZ$33,1+AI$4,FALSE))</f>
        <v/>
      </c>
      <c r="P37" s="289" t="str">
        <f>IF($C37="","",VLOOKUP($C37,$C$6:$AZ$33,1+AJ$4,FALSE))</f>
        <v/>
      </c>
      <c r="Q37" s="118" t="str">
        <f>IF($C37="","",IF($D37="DH","-",VLOOKUP($C37,$C$5:$AZ$33,9+VLOOKUP($D37,$T$35:$U$43,2,FALSE),FALSE)))</f>
        <v/>
      </c>
      <c r="R37" s="102" t="str">
        <f>IF($C37="","",IF($D37="DH","-",VLOOKUP($C37,$C$5:$AZ$33,VLOOKUP($D37,$T$35:$V$43,3,FALSE),FALSE)))</f>
        <v/>
      </c>
      <c r="T37" s="53" t="s">
        <v>97</v>
      </c>
      <c r="U37" s="53">
        <v>3</v>
      </c>
      <c r="V37" s="289">
        <v>9</v>
      </c>
      <c r="W37" s="288" t="str">
        <f t="shared" ref="W37:W43" si="71">VLOOKUP($T37,$D$35:$R$44,14,FALSE)</f>
        <v/>
      </c>
      <c r="X37" s="289" t="str">
        <f t="shared" ref="X37:X43" si="72">VLOOKUP($T37,$D$35:$R$44,15,FALSE)</f>
        <v/>
      </c>
      <c r="AG37" s="77">
        <v>2</v>
      </c>
      <c r="AH37" s="295" t="s">
        <v>357</v>
      </c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6"/>
    </row>
    <row r="38" spans="1:52">
      <c r="B38" s="36">
        <v>3</v>
      </c>
      <c r="C38" s="58"/>
      <c r="D38" s="37" t="s">
        <v>100</v>
      </c>
      <c r="E38" s="38" t="str">
        <f>IF($C38="","",VLOOKUP($C38,$C$6:$AK$33,$E$4-2,FALSE))</f>
        <v/>
      </c>
      <c r="F38" s="288" t="str">
        <f>IF($C38="","",VLOOKUP($C38,$C$6:$AK$33,18+$B38,FALSE))</f>
        <v/>
      </c>
      <c r="G38" s="288" t="str">
        <f>IF($C38="","",IF(VLOOKUP($C38,$C$6:$AK$33,18+3,FALSE)=1,3,IF(VLOOKUP($C38,$C$6:$AK$33,18+4,FALSE)=1,4,IF(VLOOKUP($C38,$C$6:$AK$33,18+1,FALSE)=1,1,IF(VLOOKUP($C38,$C$6:$AK$33,18+5,FALSE)=1,5,IF(VLOOKUP($C38,$C$6:$AK$33,18+2,FALSE)=1,2,IF(VLOOKUP($C38,$C$6:$AK$33,18+6,FALSE)=1,6,IF(VLOOKUP($C38,$C$6:$AK$33,18+7,FALSE)=1,7,IF(VLOOKUP($C38,$C$6:$AK$33,18+8,FALSE)=1,8,9)))))))))</f>
        <v/>
      </c>
      <c r="H38" s="8" t="str">
        <f>IF($C38="","",VLOOKUP($C38,$C$6:$AK$33,35,FALSE))</f>
        <v/>
      </c>
      <c r="I38" s="89">
        <v>1</v>
      </c>
      <c r="J38" s="53" t="str">
        <f>IF($C38="","",VLOOKUP($C38,$C$6:$AZ$33,17+AD$4,FALSE))</f>
        <v/>
      </c>
      <c r="K38" s="288" t="str">
        <f>IF($C38="","",VLOOKUP($C38,$C$6:$AZ$33,17+AE$4,FALSE))</f>
        <v/>
      </c>
      <c r="L38" s="288" t="str">
        <f>IF($C38="","",VLOOKUP($C38,$C$6:$AZ$33,17+AF$4,FALSE))</f>
        <v/>
      </c>
      <c r="M38" s="288" t="str">
        <f>IF($C38="","",VLOOKUP($C38,$C$6:$AZ$33,17+AG$4,FALSE))</f>
        <v/>
      </c>
      <c r="N38" s="288" t="str">
        <f>IF($C38="","",VLOOKUP($C38,$C$6:$AZ$33,17+AH$4,FALSE))</f>
        <v/>
      </c>
      <c r="O38" s="53" t="str">
        <f>IF($C38="","",VLOOKUP($C38,$C$6:$AZ$33,1+AI$4,FALSE))</f>
        <v/>
      </c>
      <c r="P38" s="289" t="str">
        <f>IF($C38="","",VLOOKUP($C38,$C$6:$AZ$33,1+AJ$4,FALSE))</f>
        <v/>
      </c>
      <c r="Q38" s="118" t="str">
        <f>IF($C38="","",IF($D38="DH","-",VLOOKUP($C38,$C$5:$AZ$33,9+VLOOKUP($D38,$T$35:$U$43,2,FALSE),FALSE)))</f>
        <v/>
      </c>
      <c r="R38" s="102" t="str">
        <f>IF($C38="","",IF($D38="DH","-",VLOOKUP($C38,$C$5:$AZ$33,VLOOKUP($D38,$T$35:$V$43,3,FALSE),FALSE)))</f>
        <v/>
      </c>
      <c r="T38" s="53" t="s">
        <v>98</v>
      </c>
      <c r="U38" s="53">
        <v>4</v>
      </c>
      <c r="V38" s="289">
        <v>9</v>
      </c>
      <c r="W38" s="288" t="str">
        <f t="shared" si="71"/>
        <v/>
      </c>
      <c r="X38" s="289" t="str">
        <f t="shared" si="72"/>
        <v/>
      </c>
      <c r="AG38" s="77">
        <v>3</v>
      </c>
      <c r="AH38" s="295" t="s">
        <v>359</v>
      </c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6"/>
    </row>
    <row r="39" spans="1:52">
      <c r="B39" s="36">
        <v>4</v>
      </c>
      <c r="C39" s="58"/>
      <c r="D39" s="65" t="s">
        <v>97</v>
      </c>
      <c r="E39" s="38" t="str">
        <f>IF($C39="","",VLOOKUP($C39,$C$6:$AK$33,$E$4-2,FALSE))</f>
        <v/>
      </c>
      <c r="F39" s="288" t="str">
        <f>IF($C39="","",VLOOKUP($C39,$C$6:$AK$33,18+$B39,FALSE))</f>
        <v/>
      </c>
      <c r="G39" s="288" t="str">
        <f>IF($C39="","",IF(VLOOKUP($C39,$C$6:$AK$33,18+3,FALSE)=1,3,IF(VLOOKUP($C39,$C$6:$AK$33,18+4,FALSE)=1,4,IF(VLOOKUP($C39,$C$6:$AK$33,18+1,FALSE)=1,1,IF(VLOOKUP($C39,$C$6:$AK$33,18+5,FALSE)=1,5,IF(VLOOKUP($C39,$C$6:$AK$33,18+2,FALSE)=1,2,IF(VLOOKUP($C39,$C$6:$AK$33,18+6,FALSE)=1,6,IF(VLOOKUP($C39,$C$6:$AK$33,18+7,FALSE)=1,7,IF(VLOOKUP($C39,$C$6:$AK$33,18+8,FALSE)=1,8,9)))))))))</f>
        <v/>
      </c>
      <c r="H39" s="8" t="str">
        <f>IF($C39="","",VLOOKUP($C39,$C$6:$AK$33,35,FALSE))</f>
        <v/>
      </c>
      <c r="I39" s="89">
        <v>2</v>
      </c>
      <c r="J39" s="53" t="str">
        <f>IF($C39="","",VLOOKUP($C39,$C$6:$AZ$33,17+AD$4,FALSE))</f>
        <v/>
      </c>
      <c r="K39" s="288" t="str">
        <f>IF($C39="","",VLOOKUP($C39,$C$6:$AZ$33,17+AE$4,FALSE))</f>
        <v/>
      </c>
      <c r="L39" s="288" t="str">
        <f>IF($C39="","",VLOOKUP($C39,$C$6:$AZ$33,17+AF$4,FALSE))</f>
        <v/>
      </c>
      <c r="M39" s="288" t="str">
        <f>IF($C39="","",VLOOKUP($C39,$C$6:$AZ$33,17+AG$4,FALSE))</f>
        <v/>
      </c>
      <c r="N39" s="288" t="str">
        <f>IF($C39="","",VLOOKUP($C39,$C$6:$AZ$33,17+AH$4,FALSE))</f>
        <v/>
      </c>
      <c r="O39" s="53" t="str">
        <f>IF($C39="","",VLOOKUP($C39,$C$6:$AZ$33,1+AI$4,FALSE))</f>
        <v/>
      </c>
      <c r="P39" s="289" t="str">
        <f>IF($C39="","",VLOOKUP($C39,$C$6:$AZ$33,1+AJ$4,FALSE))</f>
        <v/>
      </c>
      <c r="Q39" s="118" t="str">
        <f>IF($C39="","",IF($D39="DH","-",VLOOKUP($C39,$C$5:$AZ$33,9+VLOOKUP($D39,$T$35:$U$43,2,FALSE),FALSE)))</f>
        <v/>
      </c>
      <c r="R39" s="102" t="str">
        <f>IF($C39="","",IF($D39="DH","-",VLOOKUP($C39,$C$5:$AZ$33,VLOOKUP($D39,$T$35:$V$43,3,FALSE),FALSE)))</f>
        <v/>
      </c>
      <c r="T39" s="53" t="s">
        <v>99</v>
      </c>
      <c r="U39" s="53">
        <v>5</v>
      </c>
      <c r="V39" s="289">
        <v>9</v>
      </c>
      <c r="W39" s="288" t="str">
        <f t="shared" si="71"/>
        <v/>
      </c>
      <c r="X39" s="289" t="str">
        <f t="shared" si="72"/>
        <v/>
      </c>
      <c r="AG39" s="77">
        <v>4</v>
      </c>
      <c r="AH39" s="297" t="s">
        <v>358</v>
      </c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</row>
    <row r="40" spans="1:52">
      <c r="B40" s="36">
        <v>5</v>
      </c>
      <c r="C40" s="58"/>
      <c r="D40" s="65" t="s">
        <v>95</v>
      </c>
      <c r="E40" s="38" t="str">
        <f>IF($C40="","",VLOOKUP($C40,$C$6:$AK$33,$E$4-2,FALSE))</f>
        <v/>
      </c>
      <c r="F40" s="288" t="str">
        <f>IF($C40="","",VLOOKUP($C40,$C$6:$AK$33,18+$B40,FALSE))</f>
        <v/>
      </c>
      <c r="G40" s="288" t="str">
        <f>IF($C40="","",IF(VLOOKUP($C40,$C$6:$AK$33,18+3,FALSE)=1,3,IF(VLOOKUP($C40,$C$6:$AK$33,18+4,FALSE)=1,4,IF(VLOOKUP($C40,$C$6:$AK$33,18+1,FALSE)=1,1,IF(VLOOKUP($C40,$C$6:$AK$33,18+5,FALSE)=1,5,IF(VLOOKUP($C40,$C$6:$AK$33,18+2,FALSE)=1,2,IF(VLOOKUP($C40,$C$6:$AK$33,18+6,FALSE)=1,6,IF(VLOOKUP($C40,$C$6:$AK$33,18+7,FALSE)=1,7,IF(VLOOKUP($C40,$C$6:$AK$33,18+8,FALSE)=1,8,9)))))))))</f>
        <v/>
      </c>
      <c r="H40" s="8" t="str">
        <f>IF($C40="","",VLOOKUP($C40,$C$6:$AK$33,35,FALSE))</f>
        <v/>
      </c>
      <c r="I40" s="89">
        <v>4</v>
      </c>
      <c r="J40" s="53" t="str">
        <f>IF($C40="","",VLOOKUP($C40,$C$6:$AZ$33,17+AD$4,FALSE))</f>
        <v/>
      </c>
      <c r="K40" s="288" t="str">
        <f>IF($C40="","",VLOOKUP($C40,$C$6:$AZ$33,17+AE$4,FALSE))</f>
        <v/>
      </c>
      <c r="L40" s="288" t="str">
        <f>IF($C40="","",VLOOKUP($C40,$C$6:$AZ$33,17+AF$4,FALSE))</f>
        <v/>
      </c>
      <c r="M40" s="288" t="str">
        <f>IF($C40="","",VLOOKUP($C40,$C$6:$AZ$33,17+AG$4,FALSE))</f>
        <v/>
      </c>
      <c r="N40" s="288" t="str">
        <f>IF($C40="","",VLOOKUP($C40,$C$6:$AZ$33,17+AH$4,FALSE))</f>
        <v/>
      </c>
      <c r="O40" s="53" t="str">
        <f>IF($C40="","",VLOOKUP($C40,$C$6:$AZ$33,1+AI$4,FALSE))</f>
        <v/>
      </c>
      <c r="P40" s="289" t="str">
        <f>IF($C40="","",VLOOKUP($C40,$C$6:$AZ$33,1+AJ$4,FALSE))</f>
        <v/>
      </c>
      <c r="Q40" s="118" t="str">
        <f>IF($C40="","",IF($D40="DH","-",VLOOKUP($C40,$C$5:$AZ$33,9+VLOOKUP($D40,$T$35:$U$43,2,FALSE),FALSE)))</f>
        <v/>
      </c>
      <c r="R40" s="102" t="str">
        <f>IF($C40="","",IF($D40="DH","-",VLOOKUP($C40,$C$5:$AZ$33,VLOOKUP($D40,$T$35:$V$43,3,FALSE),FALSE)))</f>
        <v/>
      </c>
      <c r="T40" s="53" t="s">
        <v>100</v>
      </c>
      <c r="U40" s="53">
        <v>6</v>
      </c>
      <c r="V40" s="289">
        <v>9</v>
      </c>
      <c r="W40" s="288" t="str">
        <f t="shared" si="71"/>
        <v/>
      </c>
      <c r="X40" s="289" t="str">
        <f t="shared" si="72"/>
        <v/>
      </c>
      <c r="AG40" s="78">
        <v>5</v>
      </c>
      <c r="AH40" s="293" t="s">
        <v>360</v>
      </c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4"/>
    </row>
    <row r="41" spans="1:52">
      <c r="B41" s="36">
        <v>6</v>
      </c>
      <c r="C41" s="58"/>
      <c r="D41" s="65" t="s">
        <v>103</v>
      </c>
      <c r="E41" s="38" t="str">
        <f>IF($C41="","",VLOOKUP($C41,$C$6:$AK$33,$E$4-2,FALSE))</f>
        <v/>
      </c>
      <c r="F41" s="288" t="str">
        <f>IF($C41="","",VLOOKUP($C41,$C$6:$AK$33,18+$B41,FALSE))</f>
        <v/>
      </c>
      <c r="G41" s="288" t="str">
        <f>IF($C41="","",IF(VLOOKUP($C41,$C$6:$AK$33,18+3,FALSE)=1,3,IF(VLOOKUP($C41,$C$6:$AK$33,18+4,FALSE)=1,4,IF(VLOOKUP($C41,$C$6:$AK$33,18+1,FALSE)=1,1,IF(VLOOKUP($C41,$C$6:$AK$33,18+5,FALSE)=1,5,IF(VLOOKUP($C41,$C$6:$AK$33,18+2,FALSE)=1,2,IF(VLOOKUP($C41,$C$6:$AK$33,18+6,FALSE)=1,6,IF(VLOOKUP($C41,$C$6:$AK$33,18+7,FALSE)=1,7,IF(VLOOKUP($C41,$C$6:$AK$33,18+8,FALSE)=1,8,9)))))))))</f>
        <v/>
      </c>
      <c r="H41" s="8" t="str">
        <f>IF($C41="","",VLOOKUP($C41,$C$6:$AK$33,35,FALSE))</f>
        <v/>
      </c>
      <c r="I41" s="89">
        <v>6</v>
      </c>
      <c r="J41" s="53" t="str">
        <f>IF($C41="","",VLOOKUP($C41,$C$6:$AZ$33,17+AD$4,FALSE))</f>
        <v/>
      </c>
      <c r="K41" s="288" t="str">
        <f>IF($C41="","",VLOOKUP($C41,$C$6:$AZ$33,17+AE$4,FALSE))</f>
        <v/>
      </c>
      <c r="L41" s="288" t="str">
        <f>IF($C41="","",VLOOKUP($C41,$C$6:$AZ$33,17+AF$4,FALSE))</f>
        <v/>
      </c>
      <c r="M41" s="288" t="str">
        <f>IF($C41="","",VLOOKUP($C41,$C$6:$AZ$33,17+AG$4,FALSE))</f>
        <v/>
      </c>
      <c r="N41" s="288" t="str">
        <f>IF($C41="","",VLOOKUP($C41,$C$6:$AZ$33,17+AH$4,FALSE))</f>
        <v/>
      </c>
      <c r="O41" s="53" t="str">
        <f>IF($C41="","",VLOOKUP($C41,$C$6:$AZ$33,1+AI$4,FALSE))</f>
        <v/>
      </c>
      <c r="P41" s="289" t="str">
        <f>IF($C41="","",VLOOKUP($C41,$C$6:$AZ$33,1+AJ$4,FALSE))</f>
        <v/>
      </c>
      <c r="Q41" s="118" t="str">
        <f>IF($C41="","",IF($D41="DH","-",VLOOKUP($C41,$C$5:$AZ$33,9+VLOOKUP($D41,$T$35:$U$43,2,FALSE),FALSE)))</f>
        <v/>
      </c>
      <c r="R41" s="102" t="str">
        <f>IF($C41="","",IF($D41="DH","-",VLOOKUP($C41,$C$5:$AZ$33,VLOOKUP($D41,$T$35:$V$43,3,FALSE),FALSE)))</f>
        <v/>
      </c>
      <c r="T41" s="53" t="s">
        <v>101</v>
      </c>
      <c r="U41" s="53">
        <v>7</v>
      </c>
      <c r="V41" s="289">
        <v>10</v>
      </c>
      <c r="W41" s="288" t="str">
        <f t="shared" si="71"/>
        <v/>
      </c>
      <c r="X41" s="289" t="str">
        <f t="shared" si="72"/>
        <v/>
      </c>
    </row>
    <row r="42" spans="1:52">
      <c r="B42" s="36">
        <v>7</v>
      </c>
      <c r="C42" s="58"/>
      <c r="D42" s="65" t="s">
        <v>101</v>
      </c>
      <c r="E42" s="38" t="str">
        <f>IF($C42="","",VLOOKUP($C42,$C$6:$AK$33,$E$4-2,FALSE))</f>
        <v/>
      </c>
      <c r="F42" s="288" t="str">
        <f>IF($C42="","",VLOOKUP($C42,$C$6:$AK$33,18+$B42,FALSE))</f>
        <v/>
      </c>
      <c r="G42" s="288" t="str">
        <f>IF($C42="","",IF(VLOOKUP($C42,$C$6:$AK$33,18+3,FALSE)=1,3,IF(VLOOKUP($C42,$C$6:$AK$33,18+4,FALSE)=1,4,IF(VLOOKUP($C42,$C$6:$AK$33,18+1,FALSE)=1,1,IF(VLOOKUP($C42,$C$6:$AK$33,18+5,FALSE)=1,5,IF(VLOOKUP($C42,$C$6:$AK$33,18+2,FALSE)=1,2,IF(VLOOKUP($C42,$C$6:$AK$33,18+6,FALSE)=1,6,IF(VLOOKUP($C42,$C$6:$AK$33,18+7,FALSE)=1,7,IF(VLOOKUP($C42,$C$6:$AK$33,18+8,FALSE)=1,8,9)))))))))</f>
        <v/>
      </c>
      <c r="H42" s="8" t="str">
        <f>IF($C42="","",VLOOKUP($C42,$C$6:$AK$33,35,FALSE))</f>
        <v/>
      </c>
      <c r="I42" s="89">
        <v>7</v>
      </c>
      <c r="J42" s="53" t="str">
        <f>IF($C42="","",VLOOKUP($C42,$C$6:$AZ$33,17+AD$4,FALSE))</f>
        <v/>
      </c>
      <c r="K42" s="288" t="str">
        <f>IF($C42="","",VLOOKUP($C42,$C$6:$AZ$33,17+AE$4,FALSE))</f>
        <v/>
      </c>
      <c r="L42" s="288" t="str">
        <f>IF($C42="","",VLOOKUP($C42,$C$6:$AZ$33,17+AF$4,FALSE))</f>
        <v/>
      </c>
      <c r="M42" s="288" t="str">
        <f>IF($C42="","",VLOOKUP($C42,$C$6:$AZ$33,17+AG$4,FALSE))</f>
        <v/>
      </c>
      <c r="N42" s="288" t="str">
        <f>IF($C42="","",VLOOKUP($C42,$C$6:$AZ$33,17+AH$4,FALSE))</f>
        <v/>
      </c>
      <c r="O42" s="53" t="str">
        <f>IF($C42="","",VLOOKUP($C42,$C$6:$AZ$33,1+AI$4,FALSE))</f>
        <v/>
      </c>
      <c r="P42" s="289" t="str">
        <f>IF($C42="","",VLOOKUP($C42,$C$6:$AZ$33,1+AJ$4,FALSE))</f>
        <v/>
      </c>
      <c r="Q42" s="118" t="str">
        <f>IF($C42="","",IF($D42="DH","-",VLOOKUP($C42,$C$5:$AZ$33,9+VLOOKUP($D42,$T$35:$U$43,2,FALSE),FALSE)))</f>
        <v/>
      </c>
      <c r="R42" s="102" t="str">
        <f>IF($C42="","",IF($D42="DH","-",VLOOKUP($C42,$C$5:$AZ$33,VLOOKUP($D42,$T$35:$V$43,3,FALSE),FALSE)))</f>
        <v/>
      </c>
      <c r="T42" s="53" t="s">
        <v>102</v>
      </c>
      <c r="U42" s="53">
        <v>8</v>
      </c>
      <c r="V42" s="289">
        <v>10</v>
      </c>
      <c r="W42" s="288" t="str">
        <f t="shared" si="71"/>
        <v/>
      </c>
      <c r="X42" s="289" t="str">
        <f t="shared" si="72"/>
        <v/>
      </c>
    </row>
    <row r="43" spans="1:52">
      <c r="B43" s="36">
        <v>8</v>
      </c>
      <c r="C43" s="58"/>
      <c r="D43" s="65" t="s">
        <v>99</v>
      </c>
      <c r="E43" s="38" t="str">
        <f>IF($C43="","",VLOOKUP($C43,$C$6:$AK$33,$E$4-2,FALSE))</f>
        <v/>
      </c>
      <c r="F43" s="288" t="str">
        <f>IF($C43="","",VLOOKUP($C43,$C$6:$AK$33,18+$B43,FALSE))</f>
        <v/>
      </c>
      <c r="G43" s="288" t="str">
        <f>IF($C43="","",IF(VLOOKUP($C43,$C$6:$AK$33,18+3,FALSE)=1,3,IF(VLOOKUP($C43,$C$6:$AK$33,18+4,FALSE)=1,4,IF(VLOOKUP($C43,$C$6:$AK$33,18+1,FALSE)=1,1,IF(VLOOKUP($C43,$C$6:$AK$33,18+5,FALSE)=1,5,IF(VLOOKUP($C43,$C$6:$AK$33,18+2,FALSE)=1,2,IF(VLOOKUP($C43,$C$6:$AK$33,18+6,FALSE)=1,6,IF(VLOOKUP($C43,$C$6:$AK$33,18+7,FALSE)=1,7,IF(VLOOKUP($C43,$C$6:$AK$33,18+8,FALSE)=1,8,9)))))))))</f>
        <v/>
      </c>
      <c r="H43" s="8" t="str">
        <f>IF($C43="","",VLOOKUP($C43,$C$6:$AK$33,35,FALSE))</f>
        <v/>
      </c>
      <c r="I43" s="89">
        <v>8</v>
      </c>
      <c r="J43" s="53" t="str">
        <f>IF($C43="","",VLOOKUP($C43,$C$6:$AZ$33,17+AD$4,FALSE))</f>
        <v/>
      </c>
      <c r="K43" s="288" t="str">
        <f>IF($C43="","",VLOOKUP($C43,$C$6:$AZ$33,17+AE$4,FALSE))</f>
        <v/>
      </c>
      <c r="L43" s="288" t="str">
        <f>IF($C43="","",VLOOKUP($C43,$C$6:$AZ$33,17+AF$4,FALSE))</f>
        <v/>
      </c>
      <c r="M43" s="288" t="str">
        <f>IF($C43="","",VLOOKUP($C43,$C$6:$AZ$33,17+AG$4,FALSE))</f>
        <v/>
      </c>
      <c r="N43" s="288" t="str">
        <f>IF($C43="","",VLOOKUP($C43,$C$6:$AZ$33,17+AH$4,FALSE))</f>
        <v/>
      </c>
      <c r="O43" s="53" t="str">
        <f>IF($C43="","",VLOOKUP($C43,$C$6:$AZ$33,1+AI$4,FALSE))</f>
        <v/>
      </c>
      <c r="P43" s="289" t="str">
        <f>IF($C43="","",VLOOKUP($C43,$C$6:$AZ$33,1+AJ$4,FALSE))</f>
        <v/>
      </c>
      <c r="Q43" s="118" t="str">
        <f>IF($C43="","",IF($D43="DH","-",VLOOKUP($C43,$C$5:$AZ$33,9+VLOOKUP($D43,$T$35:$U$43,2,FALSE),FALSE)))</f>
        <v/>
      </c>
      <c r="R43" s="102" t="str">
        <f>IF($C43="","",IF($D43="DH","-",VLOOKUP($C43,$C$5:$AZ$33,VLOOKUP($D43,$T$35:$V$43,3,FALSE),FALSE)))</f>
        <v/>
      </c>
      <c r="T43" s="54" t="s">
        <v>103</v>
      </c>
      <c r="U43" s="54">
        <v>9</v>
      </c>
      <c r="V43" s="287">
        <v>10</v>
      </c>
      <c r="W43" s="286" t="str">
        <f t="shared" si="71"/>
        <v/>
      </c>
      <c r="X43" s="287" t="str">
        <f t="shared" si="72"/>
        <v/>
      </c>
    </row>
    <row r="44" spans="1:52">
      <c r="B44" s="39">
        <v>9</v>
      </c>
      <c r="C44" s="59"/>
      <c r="D44" s="40" t="s">
        <v>98</v>
      </c>
      <c r="E44" s="42" t="str">
        <f>IF($C44="","",VLOOKUP($C44,$C$6:$AK$33,$E$4-2,FALSE))</f>
        <v/>
      </c>
      <c r="F44" s="286" t="str">
        <f>IF($C44="","",VLOOKUP($C44,$C$6:$AK$33,18+$B44,FALSE))</f>
        <v/>
      </c>
      <c r="G44" s="286" t="str">
        <f>IF($C44="","",IF(VLOOKUP($C44,$C$6:$AK$33,18+3,FALSE)=1,3,IF(VLOOKUP($C44,$C$6:$AK$33,18+4,FALSE)=1,4,IF(VLOOKUP($C44,$C$6:$AK$33,18+1,FALSE)=1,1,IF(VLOOKUP($C44,$C$6:$AK$33,18+5,FALSE)=1,5,IF(VLOOKUP($C44,$C$6:$AK$33,18+2,FALSE)=1,2,IF(VLOOKUP($C44,$C$6:$AK$33,18+6,FALSE)=1,6,IF(VLOOKUP($C44,$C$6:$AK$33,18+7,FALSE)=1,7,IF(VLOOKUP($C44,$C$6:$AK$33,18+8,FALSE)=1,8,9)))))))))</f>
        <v/>
      </c>
      <c r="H44" s="69" t="str">
        <f>IF($C44="","",VLOOKUP($C44,$C$6:$AK$33,35,FALSE))</f>
        <v/>
      </c>
      <c r="I44" s="90">
        <v>9</v>
      </c>
      <c r="J44" s="54" t="str">
        <f>IF($C44="","",VLOOKUP($C44,$C$6:$AZ$33,17+AD$4,FALSE))</f>
        <v/>
      </c>
      <c r="K44" s="286" t="str">
        <f>IF($C44="","",VLOOKUP($C44,$C$6:$AZ$33,17+AE$4,FALSE))</f>
        <v/>
      </c>
      <c r="L44" s="286" t="str">
        <f>IF($C44="","",VLOOKUP($C44,$C$6:$AZ$33,17+AF$4,FALSE))</f>
        <v/>
      </c>
      <c r="M44" s="286" t="str">
        <f>IF($C44="","",VLOOKUP($C44,$C$6:$AZ$33,17+AG$4,FALSE))</f>
        <v/>
      </c>
      <c r="N44" s="286" t="str">
        <f>IF($C44="","",VLOOKUP($C44,$C$6:$AZ$33,17+AH$4,FALSE))</f>
        <v/>
      </c>
      <c r="O44" s="54" t="str">
        <f>IF($C44="","",VLOOKUP($C44,$C$6:$AZ$33,1+AI$4,FALSE))</f>
        <v/>
      </c>
      <c r="P44" s="287" t="str">
        <f>IF($C44="","",VLOOKUP($C44,$C$6:$AZ$33,1+AJ$4,FALSE))</f>
        <v/>
      </c>
      <c r="Q44" s="119" t="str">
        <f>IF($C44="","",IF($D44="DH","-",VLOOKUP($C44,$C$5:$AZ$33,9+VLOOKUP($D44,$T$35:$U$43,2,FALSE),FALSE)))</f>
        <v/>
      </c>
      <c r="R44" s="103" t="str">
        <f>IF($C44="","",IF($D44="DH","-",VLOOKUP($C44,$C$5:$AZ$33,VLOOKUP($D44,$T$35:$V$43,3,FALSE),FALSE)))</f>
        <v/>
      </c>
    </row>
    <row r="45" spans="1:52">
      <c r="B45" s="4"/>
      <c r="C45" s="37"/>
      <c r="D45" s="37"/>
      <c r="E45" s="37"/>
      <c r="F45" s="288"/>
      <c r="G45" s="288"/>
      <c r="H45" s="9"/>
    </row>
    <row r="46" spans="1:52">
      <c r="B46" s="32" t="s">
        <v>197</v>
      </c>
      <c r="C46" s="35">
        <f>COUNTA(C6:C17,C20:C27,C30:C33)</f>
        <v>13</v>
      </c>
      <c r="D46" s="318">
        <f>C46/$C$48</f>
        <v>0.52</v>
      </c>
      <c r="E46" s="37"/>
      <c r="F46" s="288"/>
      <c r="G46" s="288"/>
      <c r="H46" s="9"/>
    </row>
    <row r="47" spans="1:52">
      <c r="B47" s="36" t="s">
        <v>198</v>
      </c>
      <c r="C47" s="38">
        <f>COUNTA(C51:C56,C59:C60,C63:C72)</f>
        <v>12</v>
      </c>
      <c r="D47" s="318">
        <f>C47/$C$48</f>
        <v>0.48</v>
      </c>
      <c r="E47" s="37"/>
      <c r="F47" s="288"/>
      <c r="G47" s="288"/>
      <c r="H47" s="9"/>
    </row>
    <row r="48" spans="1:52">
      <c r="B48" s="39" t="s">
        <v>199</v>
      </c>
      <c r="C48" s="42">
        <f>C46+C47</f>
        <v>25</v>
      </c>
      <c r="D48" s="37"/>
      <c r="E48" s="37"/>
      <c r="F48" s="288"/>
      <c r="G48" s="288"/>
      <c r="H48" s="9"/>
    </row>
    <row r="49" spans="1:33">
      <c r="I49">
        <v>6</v>
      </c>
      <c r="K49">
        <v>11</v>
      </c>
      <c r="L49">
        <v>12</v>
      </c>
      <c r="M49">
        <v>13</v>
      </c>
      <c r="N49">
        <v>17</v>
      </c>
      <c r="O49">
        <f>N49+2</f>
        <v>19</v>
      </c>
      <c r="P49">
        <f t="shared" ref="P49:Y49" si="73">O49+2</f>
        <v>21</v>
      </c>
      <c r="Q49">
        <f t="shared" si="73"/>
        <v>23</v>
      </c>
      <c r="R49">
        <f t="shared" si="73"/>
        <v>25</v>
      </c>
      <c r="S49">
        <f t="shared" si="73"/>
        <v>27</v>
      </c>
      <c r="T49">
        <f t="shared" si="73"/>
        <v>29</v>
      </c>
      <c r="U49">
        <f t="shared" si="73"/>
        <v>31</v>
      </c>
      <c r="V49">
        <f t="shared" si="73"/>
        <v>33</v>
      </c>
      <c r="W49">
        <f t="shared" si="73"/>
        <v>35</v>
      </c>
      <c r="X49">
        <f t="shared" si="73"/>
        <v>37</v>
      </c>
      <c r="Y49">
        <f t="shared" si="73"/>
        <v>39</v>
      </c>
      <c r="Z49">
        <v>41</v>
      </c>
      <c r="AA49">
        <v>42</v>
      </c>
      <c r="AB49">
        <v>43</v>
      </c>
      <c r="AC49">
        <v>46</v>
      </c>
      <c r="AD49">
        <v>14</v>
      </c>
      <c r="AE49">
        <v>15</v>
      </c>
      <c r="AF49">
        <v>16</v>
      </c>
      <c r="AG49">
        <v>48</v>
      </c>
    </row>
    <row r="50" spans="1:33" s="288" customFormat="1" ht="74.25">
      <c r="A50" s="73" t="s">
        <v>196</v>
      </c>
      <c r="B50" s="283" t="s">
        <v>129</v>
      </c>
      <c r="C50" s="44" t="s">
        <v>121</v>
      </c>
      <c r="D50" s="44" t="s">
        <v>94</v>
      </c>
      <c r="E50" s="50" t="s">
        <v>105</v>
      </c>
      <c r="F50" s="46" t="s">
        <v>186</v>
      </c>
      <c r="G50" s="46" t="s">
        <v>187</v>
      </c>
      <c r="H50" s="46" t="s">
        <v>188</v>
      </c>
      <c r="I50" s="76" t="s">
        <v>217</v>
      </c>
      <c r="J50" s="76" t="s">
        <v>192</v>
      </c>
      <c r="K50" s="74" t="s">
        <v>189</v>
      </c>
      <c r="L50" s="74" t="s">
        <v>190</v>
      </c>
      <c r="M50" s="75" t="s">
        <v>191</v>
      </c>
      <c r="N50" s="74" t="s">
        <v>63</v>
      </c>
      <c r="O50" s="74" t="s">
        <v>65</v>
      </c>
      <c r="P50" s="74" t="s">
        <v>67</v>
      </c>
      <c r="Q50" s="74" t="s">
        <v>69</v>
      </c>
      <c r="R50" s="74" t="s">
        <v>71</v>
      </c>
      <c r="S50" s="74" t="s">
        <v>111</v>
      </c>
      <c r="T50" s="74" t="s">
        <v>74</v>
      </c>
      <c r="U50" s="74" t="s">
        <v>76</v>
      </c>
      <c r="V50" s="74" t="s">
        <v>78</v>
      </c>
      <c r="W50" s="74" t="s">
        <v>80</v>
      </c>
      <c r="X50" s="74" t="s">
        <v>82</v>
      </c>
      <c r="Y50" s="75" t="s">
        <v>84</v>
      </c>
      <c r="Z50" s="79" t="s">
        <v>203</v>
      </c>
      <c r="AA50" s="74" t="s">
        <v>202</v>
      </c>
      <c r="AB50" s="75" t="s">
        <v>204</v>
      </c>
      <c r="AC50" s="319" t="s">
        <v>647</v>
      </c>
      <c r="AD50" s="74" t="s">
        <v>189</v>
      </c>
      <c r="AE50" s="74" t="s">
        <v>190</v>
      </c>
      <c r="AF50" s="75" t="s">
        <v>191</v>
      </c>
      <c r="AG50" s="319" t="s">
        <v>201</v>
      </c>
    </row>
    <row r="51" spans="1:33">
      <c r="A51" s="288">
        <v>1</v>
      </c>
      <c r="B51" s="36" t="s">
        <v>111</v>
      </c>
      <c r="C51" s="288" t="s">
        <v>586</v>
      </c>
      <c r="D51" s="37">
        <f>IF($C51="","",VLOOKUP($C51,CTPit!$E$10:$BG$214,D$4,FALSE))</f>
        <v>31</v>
      </c>
      <c r="E51" s="38" t="str">
        <f>IF($C51="","",VLOOKUP($C51,CTPit!$E$10:$BG$214,E$4+1,FALSE))</f>
        <v>R</v>
      </c>
      <c r="F51" s="288">
        <f>IF($C51="","",IF(AG51&gt;7,1,0))</f>
        <v>0</v>
      </c>
      <c r="G51" s="288">
        <f>IF($C51="","",IF(AG51&gt;6.5,1,0))</f>
        <v>1</v>
      </c>
      <c r="H51" s="288">
        <f>IF($C51="","",IF(AG51&gt;6,1,0))</f>
        <v>1</v>
      </c>
      <c r="I51" s="99" t="str">
        <f>IF($C51="","",VLOOKUP($C51,CTPit!$E$10:$BG$172,I$49,FALSE))</f>
        <v>R</v>
      </c>
      <c r="J51" s="77">
        <f t="shared" ref="J51:J56" si="74">IF($C51="","",COUNT(N51:Y51))</f>
        <v>5</v>
      </c>
      <c r="K51" s="288">
        <f>IF($C51="","",VLOOKUP($C51,CTPit!$E$10:$BG$172,K$49,FALSE))</f>
        <v>6</v>
      </c>
      <c r="L51" s="288">
        <f>IF($C51="","",VLOOKUP($C51,CTPit!$E$10:$BG$172,L$49,FALSE))</f>
        <v>6</v>
      </c>
      <c r="M51" s="289">
        <f>IF($C51="","",VLOOKUP($C51,CTPit!$E$10:$BG$172,M$49,FALSE))</f>
        <v>6</v>
      </c>
      <c r="N51" s="288">
        <f>IF($C51="","",VLOOKUP($C51,CTPit!$E$10:$BG$172,N$49,FALSE))</f>
        <v>5</v>
      </c>
      <c r="O51" s="288">
        <f>IF($C51="","",VLOOKUP($C51,CTPit!$E$10:$BG$172,O$49,FALSE))</f>
        <v>3</v>
      </c>
      <c r="P51" s="288">
        <f>IF($C51="","",VLOOKUP($C51,CTPit!$E$10:$BG$172,P$49,FALSE))</f>
        <v>7</v>
      </c>
      <c r="Q51" s="288">
        <f>IF($C51="","",VLOOKUP($C51,CTPit!$E$10:$BG$172,Q$49,FALSE))</f>
        <v>2</v>
      </c>
      <c r="R51" s="288" t="str">
        <f>IF($C51="","",VLOOKUP($C51,CTPit!$E$10:$BG$172,R$49,FALSE))</f>
        <v>-</v>
      </c>
      <c r="S51" s="288" t="str">
        <f>IF($C51="","",VLOOKUP($C51,CTPit!$E$10:$BG$172,S$49,FALSE))</f>
        <v>-</v>
      </c>
      <c r="T51" s="288" t="str">
        <f>IF($C51="","",VLOOKUP($C51,CTPit!$E$10:$BG$172,T$49,FALSE))</f>
        <v>-</v>
      </c>
      <c r="U51" s="288">
        <f>IF($C51="","",VLOOKUP($C51,CTPit!$E$10:$BG$172,U$49,FALSE))</f>
        <v>6</v>
      </c>
      <c r="V51" s="288" t="str">
        <f>IF($C51="","",VLOOKUP($C51,CTPit!$E$10:$BG$172,V$49,FALSE))</f>
        <v>-</v>
      </c>
      <c r="W51" s="288" t="str">
        <f>IF($C51="","",VLOOKUP($C51,CTPit!$E$10:$BG$172,W$49,FALSE))</f>
        <v>-</v>
      </c>
      <c r="X51" s="288" t="str">
        <f>IF($C51="","",VLOOKUP($C51,CTPit!$E$10:$BG$172,X$49,FALSE))</f>
        <v>-</v>
      </c>
      <c r="Y51" s="289" t="str">
        <f>IF($C51="","",VLOOKUP($C51,CTPit!$E$10:$BG$172,Y$49,FALSE))</f>
        <v>-</v>
      </c>
      <c r="Z51" s="53" t="str">
        <f>IF($C51="","",VLOOKUP($C51,CTPit!$E$10:$BG$172,Z$49,FALSE))</f>
        <v>89-90 Mph</v>
      </c>
      <c r="AA51" s="288">
        <f>IF($C51="","",VLOOKUP($C51,CTPit!$E$10:$BG$172,AA$49,FALSE))</f>
        <v>5</v>
      </c>
      <c r="AB51" s="80">
        <f>IF($C51="","",VLOOKUP($C51,CTPit!$E$10:$BG$172,AB$49,FALSE))</f>
        <v>0.43</v>
      </c>
      <c r="AC51" s="320">
        <f>IF($C51="","",VLOOKUP($C51,CTPit!$E$10:$BG$172,AC$49,FALSE))</f>
        <v>6.75</v>
      </c>
      <c r="AD51" s="288">
        <f>IF($C51="","",VLOOKUP($C51,CTPit!$E$10:$BG$172,AD$49,FALSE))</f>
        <v>6</v>
      </c>
      <c r="AE51" s="288">
        <f>IF($C51="","",VLOOKUP($C51,CTPit!$E$10:$BG$172,AE$49,FALSE))</f>
        <v>6</v>
      </c>
      <c r="AF51" s="289">
        <f>IF($C51="","",VLOOKUP($C51,CTPit!$E$10:$BG$172,AF$49,FALSE))</f>
        <v>6</v>
      </c>
      <c r="AG51" s="320">
        <f>IF($C51="","",VLOOKUP($C51,CTPit!$E$10:$BG$172,AG$49,FALSE))</f>
        <v>6.75</v>
      </c>
    </row>
    <row r="52" spans="1:33">
      <c r="A52" s="288">
        <v>2</v>
      </c>
      <c r="B52" s="36" t="s">
        <v>111</v>
      </c>
      <c r="C52" s="37" t="s">
        <v>421</v>
      </c>
      <c r="D52" s="37">
        <f>IF($C52="","",VLOOKUP($C52,CTPit!$E$10:$BG$214,D$4,FALSE))</f>
        <v>22</v>
      </c>
      <c r="E52" s="38" t="str">
        <f>IF($C52="","",VLOOKUP($C52,CTPit!$E$10:$BG$214,E$4+1,FALSE))</f>
        <v>L</v>
      </c>
      <c r="F52" s="288">
        <f t="shared" ref="F52:F56" si="75">IF($C52="","",IF(AG52&gt;7,1,0))</f>
        <v>0</v>
      </c>
      <c r="G52" s="288">
        <f t="shared" ref="G52:G56" si="76">IF($C52="","",IF(AG52&gt;6.5,1,0))</f>
        <v>0</v>
      </c>
      <c r="H52" s="288">
        <f t="shared" ref="H52:H56" si="77">IF($C52="","",IF(AG52&gt;6,1,0))</f>
        <v>0</v>
      </c>
      <c r="I52" s="100" t="str">
        <f>IF($C52="","",VLOOKUP($C52,CTPit!$E$10:$BG$172,I$49,FALSE))</f>
        <v>L</v>
      </c>
      <c r="J52" s="77">
        <f t="shared" si="74"/>
        <v>4</v>
      </c>
      <c r="K52" s="288">
        <f>IF($C52="","",VLOOKUP($C52,CTPit!$E$10:$BG$172,K$49,FALSE))</f>
        <v>6</v>
      </c>
      <c r="L52" s="288">
        <f>IF($C52="","",VLOOKUP($C52,CTPit!$E$10:$BG$172,L$49,FALSE))</f>
        <v>4</v>
      </c>
      <c r="M52" s="289">
        <f>IF($C52="","",VLOOKUP($C52,CTPit!$E$10:$BG$172,M$49,FALSE))</f>
        <v>4</v>
      </c>
      <c r="N52" s="288">
        <f>IF($C52="","",VLOOKUP($C52,CTPit!$E$10:$BG$172,N$49,FALSE))</f>
        <v>6</v>
      </c>
      <c r="O52" s="288">
        <f>IF($C52="","",VLOOKUP($C52,CTPit!$E$10:$BG$172,O$49,FALSE))</f>
        <v>7</v>
      </c>
      <c r="P52" s="288">
        <f>IF($C52="","",VLOOKUP($C52,CTPit!$E$10:$BG$172,P$49,FALSE))</f>
        <v>6</v>
      </c>
      <c r="Q52" s="288" t="str">
        <f>IF($C52="","",VLOOKUP($C52,CTPit!$E$10:$BG$172,Q$49,FALSE))</f>
        <v>-</v>
      </c>
      <c r="R52" s="288">
        <f>IF($C52="","",VLOOKUP($C52,CTPit!$E$10:$BG$172,R$49,FALSE))</f>
        <v>5</v>
      </c>
      <c r="S52" s="288" t="str">
        <f>IF($C52="","",VLOOKUP($C52,CTPit!$E$10:$BG$172,S$49,FALSE))</f>
        <v>-</v>
      </c>
      <c r="T52" s="288" t="str">
        <f>IF($C52="","",VLOOKUP($C52,CTPit!$E$10:$BG$172,T$49,FALSE))</f>
        <v>-</v>
      </c>
      <c r="U52" s="288" t="str">
        <f>IF($C52="","",VLOOKUP($C52,CTPit!$E$10:$BG$172,U$49,FALSE))</f>
        <v>-</v>
      </c>
      <c r="V52" s="288" t="str">
        <f>IF($C52="","",VLOOKUP($C52,CTPit!$E$10:$BG$172,V$49,FALSE))</f>
        <v>-</v>
      </c>
      <c r="W52" s="288" t="str">
        <f>IF($C52="","",VLOOKUP($C52,CTPit!$E$10:$BG$172,W$49,FALSE))</f>
        <v>-</v>
      </c>
      <c r="X52" s="288" t="str">
        <f>IF($C52="","",VLOOKUP($C52,CTPit!$E$10:$BG$172,X$49,FALSE))</f>
        <v>-</v>
      </c>
      <c r="Y52" s="289" t="str">
        <f>IF($C52="","",VLOOKUP($C52,CTPit!$E$10:$BG$172,Y$49,FALSE))</f>
        <v>-</v>
      </c>
      <c r="Z52" s="53" t="str">
        <f>IF($C52="","",VLOOKUP($C52,CTPit!$E$10:$BG$172,Z$49,FALSE))</f>
        <v>94-96 Mph</v>
      </c>
      <c r="AA52" s="288">
        <f>IF($C52="","",VLOOKUP($C52,CTPit!$E$10:$BG$172,AA$49,FALSE))</f>
        <v>9</v>
      </c>
      <c r="AB52" s="80">
        <f>IF($C52="","",VLOOKUP($C52,CTPit!$E$10:$BG$172,AB$49,FALSE))</f>
        <v>0.5</v>
      </c>
      <c r="AC52" s="67">
        <f>IF($C52="","",VLOOKUP($C52,CTPit!$E$10:$BG$172,AC$49,FALSE))</f>
        <v>5.166666666666667</v>
      </c>
      <c r="AD52" s="288">
        <f>IF($C52="","",VLOOKUP($C52,CTPit!$E$10:$BG$172,AD$49,FALSE))</f>
        <v>6</v>
      </c>
      <c r="AE52" s="288">
        <f>IF($C52="","",VLOOKUP($C52,CTPit!$E$10:$BG$172,AE$49,FALSE))</f>
        <v>4</v>
      </c>
      <c r="AF52" s="289">
        <f>IF($C52="","",VLOOKUP($C52,CTPit!$E$10:$BG$172,AF$49,FALSE))</f>
        <v>5</v>
      </c>
      <c r="AG52" s="67">
        <f>IF($C52="","",VLOOKUP($C52,CTPit!$E$10:$BG$172,AG$49,FALSE))</f>
        <v>5.5</v>
      </c>
    </row>
    <row r="53" spans="1:33">
      <c r="A53" s="288">
        <v>3</v>
      </c>
      <c r="B53" s="36" t="s">
        <v>111</v>
      </c>
      <c r="C53" s="65" t="s">
        <v>575</v>
      </c>
      <c r="D53" s="37">
        <f>IF($C53="","",VLOOKUP($C53,CTPit!$E$10:$BG$214,D$4,FALSE))</f>
        <v>30</v>
      </c>
      <c r="E53" s="38" t="str">
        <f>IF($C53="","",VLOOKUP($C53,CTPit!$E$10:$BG$214,E$4+1,FALSE))</f>
        <v>L</v>
      </c>
      <c r="F53" s="288">
        <f t="shared" si="75"/>
        <v>0</v>
      </c>
      <c r="G53" s="288">
        <f t="shared" si="76"/>
        <v>0</v>
      </c>
      <c r="H53" s="288">
        <f t="shared" si="77"/>
        <v>0</v>
      </c>
      <c r="I53" s="100" t="str">
        <f>IF($C53="","",VLOOKUP($C53,CTPit!$E$10:$BG$172,I$49,FALSE))</f>
        <v>L</v>
      </c>
      <c r="J53" s="77">
        <f t="shared" si="74"/>
        <v>4</v>
      </c>
      <c r="K53" s="288">
        <f>IF($C53="","",VLOOKUP($C53,CTPit!$E$10:$BG$172,K$49,FALSE))</f>
        <v>6</v>
      </c>
      <c r="L53" s="288">
        <f>IF($C53="","",VLOOKUP($C53,CTPit!$E$10:$BG$172,L$49,FALSE))</f>
        <v>4</v>
      </c>
      <c r="M53" s="289">
        <f>IF($C53="","",VLOOKUP($C53,CTPit!$E$10:$BG$172,M$49,FALSE))</f>
        <v>3</v>
      </c>
      <c r="N53" s="288">
        <f>IF($C53="","",VLOOKUP($C53,CTPit!$E$10:$BG$172,N$49,FALSE))</f>
        <v>6</v>
      </c>
      <c r="O53" s="288">
        <f>IF($C53="","",VLOOKUP($C53,CTPit!$E$10:$BG$172,O$49,FALSE))</f>
        <v>7</v>
      </c>
      <c r="P53" s="288" t="str">
        <f>IF($C53="","",VLOOKUP($C53,CTPit!$E$10:$BG$172,P$49,FALSE))</f>
        <v>-</v>
      </c>
      <c r="Q53" s="288">
        <f>IF($C53="","",VLOOKUP($C53,CTPit!$E$10:$BG$172,Q$49,FALSE))</f>
        <v>7</v>
      </c>
      <c r="R53" s="288">
        <f>IF($C53="","",VLOOKUP($C53,CTPit!$E$10:$BG$172,R$49,FALSE))</f>
        <v>6</v>
      </c>
      <c r="S53" s="288" t="str">
        <f>IF($C53="","",VLOOKUP($C53,CTPit!$E$10:$BG$172,S$49,FALSE))</f>
        <v>-</v>
      </c>
      <c r="T53" s="288" t="str">
        <f>IF($C53="","",VLOOKUP($C53,CTPit!$E$10:$BG$172,T$49,FALSE))</f>
        <v>-</v>
      </c>
      <c r="U53" s="288" t="str">
        <f>IF($C53="","",VLOOKUP($C53,CTPit!$E$10:$BG$172,U$49,FALSE))</f>
        <v>-</v>
      </c>
      <c r="V53" s="288" t="str">
        <f>IF($C53="","",VLOOKUP($C53,CTPit!$E$10:$BG$172,V$49,FALSE))</f>
        <v>-</v>
      </c>
      <c r="W53" s="288" t="str">
        <f>IF($C53="","",VLOOKUP($C53,CTPit!$E$10:$BG$172,W$49,FALSE))</f>
        <v>-</v>
      </c>
      <c r="X53" s="288" t="str">
        <f>IF($C53="","",VLOOKUP($C53,CTPit!$E$10:$BG$172,X$49,FALSE))</f>
        <v>-</v>
      </c>
      <c r="Y53" s="289" t="str">
        <f>IF($C53="","",VLOOKUP($C53,CTPit!$E$10:$BG$172,Y$49,FALSE))</f>
        <v>-</v>
      </c>
      <c r="Z53" s="53" t="str">
        <f>IF($C53="","",VLOOKUP($C53,CTPit!$E$10:$BG$172,Z$49,FALSE))</f>
        <v>90-92 Mph</v>
      </c>
      <c r="AA53" s="288">
        <f>IF($C53="","",VLOOKUP($C53,CTPit!$E$10:$BG$172,AA$49,FALSE))</f>
        <v>6</v>
      </c>
      <c r="AB53" s="80">
        <f>IF($C53="","",VLOOKUP($C53,CTPit!$E$10:$BG$172,AB$49,FALSE))</f>
        <v>0.36</v>
      </c>
      <c r="AC53" s="67">
        <f>IF($C53="","",VLOOKUP($C53,CTPit!$E$10:$BG$172,AC$49,FALSE))</f>
        <v>4.833333333333333</v>
      </c>
      <c r="AD53" s="288">
        <f>IF($C53="","",VLOOKUP($C53,CTPit!$E$10:$BG$172,AD$49,FALSE))</f>
        <v>6</v>
      </c>
      <c r="AE53" s="288">
        <f>IF($C53="","",VLOOKUP($C53,CTPit!$E$10:$BG$172,AE$49,FALSE))</f>
        <v>4</v>
      </c>
      <c r="AF53" s="289">
        <f>IF($C53="","",VLOOKUP($C53,CTPit!$E$10:$BG$172,AF$49,FALSE))</f>
        <v>3</v>
      </c>
      <c r="AG53" s="67">
        <f>IF($C53="","",VLOOKUP($C53,CTPit!$E$10:$BG$172,AG$49,FALSE))</f>
        <v>4.833333333333333</v>
      </c>
    </row>
    <row r="54" spans="1:33">
      <c r="A54" s="288">
        <v>4</v>
      </c>
      <c r="B54" s="36" t="s">
        <v>111</v>
      </c>
      <c r="C54" s="65" t="s">
        <v>389</v>
      </c>
      <c r="D54" s="37">
        <f>IF($C54="","",VLOOKUP($C54,CTPit!$E$10:$BG$214,D$4,FALSE))</f>
        <v>21</v>
      </c>
      <c r="E54" s="38" t="str">
        <f>IF($C54="","",VLOOKUP($C54,CTPit!$E$10:$BG$214,E$4+1,FALSE))</f>
        <v>R</v>
      </c>
      <c r="F54" s="288">
        <f t="shared" si="75"/>
        <v>0</v>
      </c>
      <c r="G54" s="288">
        <f t="shared" si="76"/>
        <v>0</v>
      </c>
      <c r="H54" s="288">
        <f t="shared" si="77"/>
        <v>0</v>
      </c>
      <c r="I54" s="100" t="str">
        <f>IF($C54="","",VLOOKUP($C54,CTPit!$E$10:$BG$172,I$49,FALSE))</f>
        <v>R</v>
      </c>
      <c r="J54" s="77">
        <f t="shared" si="74"/>
        <v>3</v>
      </c>
      <c r="K54" s="288">
        <f>IF($C54="","",VLOOKUP($C54,CTPit!$E$10:$BG$172,K$49,FALSE))</f>
        <v>6</v>
      </c>
      <c r="L54" s="288">
        <f>IF($C54="","",VLOOKUP($C54,CTPit!$E$10:$BG$172,L$49,FALSE))</f>
        <v>4</v>
      </c>
      <c r="M54" s="289">
        <f>IF($C54="","",VLOOKUP($C54,CTPit!$E$10:$BG$172,M$49,FALSE))</f>
        <v>3</v>
      </c>
      <c r="N54" s="288">
        <f>IF($C54="","",VLOOKUP($C54,CTPit!$E$10:$BG$172,N$49,FALSE))</f>
        <v>7</v>
      </c>
      <c r="O54" s="288" t="str">
        <f>IF($C54="","",VLOOKUP($C54,CTPit!$E$10:$BG$172,O$49,FALSE))</f>
        <v>-</v>
      </c>
      <c r="P54" s="288" t="str">
        <f>IF($C54="","",VLOOKUP($C54,CTPit!$E$10:$BG$172,P$49,FALSE))</f>
        <v>-</v>
      </c>
      <c r="Q54" s="288">
        <f>IF($C54="","",VLOOKUP($C54,CTPit!$E$10:$BG$172,Q$49,FALSE))</f>
        <v>6</v>
      </c>
      <c r="R54" s="288" t="str">
        <f>IF($C54="","",VLOOKUP($C54,CTPit!$E$10:$BG$172,R$49,FALSE))</f>
        <v>-</v>
      </c>
      <c r="S54" s="288" t="str">
        <f>IF($C54="","",VLOOKUP($C54,CTPit!$E$10:$BG$172,S$49,FALSE))</f>
        <v>-</v>
      </c>
      <c r="T54" s="288" t="str">
        <f>IF($C54="","",VLOOKUP($C54,CTPit!$E$10:$BG$172,T$49,FALSE))</f>
        <v>-</v>
      </c>
      <c r="U54" s="288" t="str">
        <f>IF($C54="","",VLOOKUP($C54,CTPit!$E$10:$BG$172,U$49,FALSE))</f>
        <v>-</v>
      </c>
      <c r="V54" s="288">
        <f>IF($C54="","",VLOOKUP($C54,CTPit!$E$10:$BG$172,V$49,FALSE))</f>
        <v>5</v>
      </c>
      <c r="W54" s="288" t="str">
        <f>IF($C54="","",VLOOKUP($C54,CTPit!$E$10:$BG$172,W$49,FALSE))</f>
        <v>-</v>
      </c>
      <c r="X54" s="288" t="str">
        <f>IF($C54="","",VLOOKUP($C54,CTPit!$E$10:$BG$172,X$49,FALSE))</f>
        <v>-</v>
      </c>
      <c r="Y54" s="289" t="str">
        <f>IF($C54="","",VLOOKUP($C54,CTPit!$E$10:$BG$172,Y$49,FALSE))</f>
        <v>-</v>
      </c>
      <c r="Z54" s="53" t="str">
        <f>IF($C54="","",VLOOKUP($C54,CTPit!$E$10:$BG$172,Z$49,FALSE))</f>
        <v>97-99 Mph</v>
      </c>
      <c r="AA54" s="288">
        <f>IF($C54="","",VLOOKUP($C54,CTPit!$E$10:$BG$172,AA$49,FALSE))</f>
        <v>7</v>
      </c>
      <c r="AB54" s="80">
        <f>IF($C54="","",VLOOKUP($C54,CTPit!$E$10:$BG$172,AB$49,FALSE))</f>
        <v>0.49</v>
      </c>
      <c r="AC54" s="67">
        <f>IF($C54="","",VLOOKUP($C54,CTPit!$E$10:$BG$172,AC$49,FALSE))</f>
        <v>4.583333333333333</v>
      </c>
      <c r="AD54" s="288">
        <f>IF($C54="","",VLOOKUP($C54,CTPit!$E$10:$BG$172,AD$49,FALSE))</f>
        <v>6</v>
      </c>
      <c r="AE54" s="288">
        <f>IF($C54="","",VLOOKUP($C54,CTPit!$E$10:$BG$172,AE$49,FALSE))</f>
        <v>4</v>
      </c>
      <c r="AF54" s="289">
        <f>IF($C54="","",VLOOKUP($C54,CTPit!$E$10:$BG$172,AF$49,FALSE))</f>
        <v>4</v>
      </c>
      <c r="AG54" s="67">
        <f>IF($C54="","",VLOOKUP($C54,CTPit!$E$10:$BG$172,AG$49,FALSE))</f>
        <v>4.916666666666667</v>
      </c>
    </row>
    <row r="55" spans="1:33">
      <c r="A55" s="288">
        <v>5</v>
      </c>
      <c r="B55" s="36" t="s">
        <v>111</v>
      </c>
      <c r="C55" s="65" t="s">
        <v>511</v>
      </c>
      <c r="D55" s="37">
        <f>IF($C55="","",VLOOKUP($C55,CTPit!$E$10:$BG$214,D$4,FALSE))</f>
        <v>22</v>
      </c>
      <c r="E55" s="38" t="str">
        <f>IF($C55="","",VLOOKUP($C55,CTPit!$E$10:$BG$214,E$4+1,FALSE))</f>
        <v>R</v>
      </c>
      <c r="F55" s="288">
        <f t="shared" si="75"/>
        <v>0</v>
      </c>
      <c r="G55" s="288">
        <f t="shared" si="76"/>
        <v>0</v>
      </c>
      <c r="H55" s="288">
        <f t="shared" si="77"/>
        <v>0</v>
      </c>
      <c r="I55" s="100" t="str">
        <f>IF($C55="","",VLOOKUP($C55,CTPit!$E$10:$BG$172,I$49,FALSE))</f>
        <v>R</v>
      </c>
      <c r="J55" s="77">
        <f t="shared" si="74"/>
        <v>4</v>
      </c>
      <c r="K55" s="288">
        <f>IF($C55="","",VLOOKUP($C55,CTPit!$E$10:$BG$172,K$49,FALSE))</f>
        <v>7</v>
      </c>
      <c r="L55" s="288">
        <f>IF($C55="","",VLOOKUP($C55,CTPit!$E$10:$BG$172,L$49,FALSE))</f>
        <v>4</v>
      </c>
      <c r="M55" s="289">
        <f>IF($C55="","",VLOOKUP($C55,CTPit!$E$10:$BG$172,M$49,FALSE))</f>
        <v>2</v>
      </c>
      <c r="N55" s="288">
        <f>IF($C55="","",VLOOKUP($C55,CTPit!$E$10:$BG$172,N$49,FALSE))</f>
        <v>8</v>
      </c>
      <c r="O55" s="288">
        <f>IF($C55="","",VLOOKUP($C55,CTPit!$E$10:$BG$172,O$49,FALSE))</f>
        <v>5</v>
      </c>
      <c r="P55" s="288">
        <f>IF($C55="","",VLOOKUP($C55,CTPit!$E$10:$BG$172,P$49,FALSE))</f>
        <v>3</v>
      </c>
      <c r="Q55" s="288" t="str">
        <f>IF($C55="","",VLOOKUP($C55,CTPit!$E$10:$BG$172,Q$49,FALSE))</f>
        <v>-</v>
      </c>
      <c r="R55" s="288" t="str">
        <f>IF($C55="","",VLOOKUP($C55,CTPit!$E$10:$BG$172,R$49,FALSE))</f>
        <v>-</v>
      </c>
      <c r="S55" s="288" t="str">
        <f>IF($C55="","",VLOOKUP($C55,CTPit!$E$10:$BG$172,S$49,FALSE))</f>
        <v>-</v>
      </c>
      <c r="T55" s="288" t="str">
        <f>IF($C55="","",VLOOKUP($C55,CTPit!$E$10:$BG$172,T$49,FALSE))</f>
        <v>-</v>
      </c>
      <c r="U55" s="288">
        <f>IF($C55="","",VLOOKUP($C55,CTPit!$E$10:$BG$172,U$49,FALSE))</f>
        <v>7</v>
      </c>
      <c r="V55" s="288" t="str">
        <f>IF($C55="","",VLOOKUP($C55,CTPit!$E$10:$BG$172,V$49,FALSE))</f>
        <v>-</v>
      </c>
      <c r="W55" s="288" t="str">
        <f>IF($C55="","",VLOOKUP($C55,CTPit!$E$10:$BG$172,W$49,FALSE))</f>
        <v>-</v>
      </c>
      <c r="X55" s="288" t="str">
        <f>IF($C55="","",VLOOKUP($C55,CTPit!$E$10:$BG$172,X$49,FALSE))</f>
        <v>-</v>
      </c>
      <c r="Y55" s="289" t="str">
        <f>IF($C55="","",VLOOKUP($C55,CTPit!$E$10:$BG$172,Y$49,FALSE))</f>
        <v>-</v>
      </c>
      <c r="Z55" s="53" t="str">
        <f>IF($C55="","",VLOOKUP($C55,CTPit!$E$10:$BG$172,Z$49,FALSE))</f>
        <v>99-101 Mph</v>
      </c>
      <c r="AA55" s="288">
        <f>IF($C55="","",VLOOKUP($C55,CTPit!$E$10:$BG$172,AA$49,FALSE))</f>
        <v>5</v>
      </c>
      <c r="AB55" s="80">
        <f>IF($C55="","",VLOOKUP($C55,CTPit!$E$10:$BG$172,AB$49,FALSE))</f>
        <v>0.45</v>
      </c>
      <c r="AC55" s="67">
        <f>IF($C55="","",VLOOKUP($C55,CTPit!$E$10:$BG$172,AC$49,FALSE))</f>
        <v>4.833333333333333</v>
      </c>
      <c r="AD55" s="288">
        <f>IF($C55="","",VLOOKUP($C55,CTPit!$E$10:$BG$172,AD$49,FALSE))</f>
        <v>7</v>
      </c>
      <c r="AE55" s="288">
        <f>IF($C55="","",VLOOKUP($C55,CTPit!$E$10:$BG$172,AE$49,FALSE))</f>
        <v>4</v>
      </c>
      <c r="AF55" s="289">
        <f>IF($C55="","",VLOOKUP($C55,CTPit!$E$10:$BG$172,AF$49,FALSE))</f>
        <v>4</v>
      </c>
      <c r="AG55" s="67">
        <f>IF($C55="","",VLOOKUP($C55,CTPit!$E$10:$BG$172,AG$49,FALSE))</f>
        <v>5.5</v>
      </c>
    </row>
    <row r="56" spans="1:33">
      <c r="A56" s="288">
        <v>6</v>
      </c>
      <c r="B56" s="39" t="s">
        <v>130</v>
      </c>
      <c r="C56" s="286"/>
      <c r="D56" s="40" t="str">
        <f>IF($C56="","",VLOOKUP($C56,CTPit!$E$10:$BG$214,D$4,FALSE))</f>
        <v/>
      </c>
      <c r="E56" s="42" t="str">
        <f>IF($C56="","",VLOOKUP($C56,CTPit!$E$10:$BG$214,E$4+1,FALSE))</f>
        <v/>
      </c>
      <c r="F56" s="286" t="str">
        <f t="shared" si="75"/>
        <v/>
      </c>
      <c r="G56" s="286" t="str">
        <f t="shared" si="76"/>
        <v/>
      </c>
      <c r="H56" s="286" t="str">
        <f t="shared" si="77"/>
        <v/>
      </c>
      <c r="I56" s="101" t="str">
        <f>IF($C56="","",VLOOKUP($C56,CTPit!$E$10:$BG$172,I$49,FALSE))</f>
        <v/>
      </c>
      <c r="J56" s="78" t="str">
        <f t="shared" si="74"/>
        <v/>
      </c>
      <c r="K56" s="286" t="str">
        <f>IF($C56="","",VLOOKUP($C56,CTPit!$E$10:$BG$172,K$49,FALSE))</f>
        <v/>
      </c>
      <c r="L56" s="286" t="str">
        <f>IF($C56="","",VLOOKUP($C56,CTPit!$E$10:$BG$172,L$49,FALSE))</f>
        <v/>
      </c>
      <c r="M56" s="287" t="str">
        <f>IF($C56="","",VLOOKUP($C56,CTPit!$E$10:$BG$172,M$49,FALSE))</f>
        <v/>
      </c>
      <c r="N56" s="286" t="str">
        <f>IF($C56="","",VLOOKUP($C56,CTPit!$E$10:$BG$172,N$49,FALSE))</f>
        <v/>
      </c>
      <c r="O56" s="286" t="str">
        <f>IF($C56="","",VLOOKUP($C56,CTPit!$E$10:$BG$172,O$49,FALSE))</f>
        <v/>
      </c>
      <c r="P56" s="286" t="str">
        <f>IF($C56="","",VLOOKUP($C56,CTPit!$E$10:$BG$172,P$49,FALSE))</f>
        <v/>
      </c>
      <c r="Q56" s="286" t="str">
        <f>IF($C56="","",VLOOKUP($C56,CTPit!$E$10:$BG$172,Q$49,FALSE))</f>
        <v/>
      </c>
      <c r="R56" s="286" t="str">
        <f>IF($C56="","",VLOOKUP($C56,CTPit!$E$10:$BG$172,R$49,FALSE))</f>
        <v/>
      </c>
      <c r="S56" s="286" t="str">
        <f>IF($C56="","",VLOOKUP($C56,CTPit!$E$10:$BG$172,S$49,FALSE))</f>
        <v/>
      </c>
      <c r="T56" s="286" t="str">
        <f>IF($C56="","",VLOOKUP($C56,CTPit!$E$10:$BG$172,T$49,FALSE))</f>
        <v/>
      </c>
      <c r="U56" s="286" t="str">
        <f>IF($C56="","",VLOOKUP($C56,CTPit!$E$10:$BG$172,U$49,FALSE))</f>
        <v/>
      </c>
      <c r="V56" s="286" t="str">
        <f>IF($C56="","",VLOOKUP($C56,CTPit!$E$10:$BG$172,V$49,FALSE))</f>
        <v/>
      </c>
      <c r="W56" s="286" t="str">
        <f>IF($C56="","",VLOOKUP($C56,CTPit!$E$10:$BG$172,W$49,FALSE))</f>
        <v/>
      </c>
      <c r="X56" s="286" t="str">
        <f>IF($C56="","",VLOOKUP($C56,CTPit!$E$10:$BG$172,X$49,FALSE))</f>
        <v/>
      </c>
      <c r="Y56" s="287" t="str">
        <f>IF($C56="","",VLOOKUP($C56,CTPit!$E$10:$BG$172,Y$49,FALSE))</f>
        <v/>
      </c>
      <c r="Z56" s="54" t="str">
        <f>IF($C56="","",VLOOKUP($C56,CTPit!$E$10:$BG$172,Z$49,FALSE))</f>
        <v/>
      </c>
      <c r="AA56" s="286" t="str">
        <f>IF($C56="","",VLOOKUP($C56,CTPit!$E$10:$BG$172,AA$49,FALSE))</f>
        <v/>
      </c>
      <c r="AB56" s="81" t="str">
        <f>IF($C56="","",VLOOKUP($C56,CTPit!$E$10:$BG$172,AB$49,FALSE))</f>
        <v/>
      </c>
      <c r="AC56" s="68" t="str">
        <f>IF($C56="","",VLOOKUP($C56,CTPit!$E$10:$BG$172,AC$49,FALSE))</f>
        <v/>
      </c>
      <c r="AD56" s="286" t="str">
        <f>IF($C56="","",VLOOKUP($C56,CTPit!$E$10:$BG$172,AD$49,FALSE))</f>
        <v/>
      </c>
      <c r="AE56" s="286" t="str">
        <f>IF($C56="","",VLOOKUP($C56,CTPit!$E$10:$BG$172,AE$49,FALSE))</f>
        <v/>
      </c>
      <c r="AF56" s="287" t="str">
        <f>IF($C56="","",VLOOKUP($C56,CTPit!$E$10:$BG$172,AF$49,FALSE))</f>
        <v/>
      </c>
      <c r="AG56" s="68" t="str">
        <f>IF($C56="","",VLOOKUP($C56,CTPit!$E$10:$BG$172,AG$49,FALSE))</f>
        <v/>
      </c>
    </row>
    <row r="57" spans="1:33">
      <c r="Z57" s="288"/>
      <c r="AA57" s="288"/>
      <c r="AB57" s="288"/>
    </row>
    <row r="58" spans="1:33" ht="57">
      <c r="A58" s="25" t="s">
        <v>196</v>
      </c>
      <c r="B58" s="283" t="s">
        <v>131</v>
      </c>
      <c r="C58" s="44" t="s">
        <v>121</v>
      </c>
      <c r="D58" s="44" t="s">
        <v>94</v>
      </c>
      <c r="E58" s="44" t="s">
        <v>105</v>
      </c>
      <c r="F58" s="55" t="s">
        <v>193</v>
      </c>
      <c r="G58" s="47" t="s">
        <v>194</v>
      </c>
      <c r="H58" s="56" t="s">
        <v>195</v>
      </c>
      <c r="I58" s="76" t="s">
        <v>217</v>
      </c>
      <c r="J58" s="47" t="s">
        <v>192</v>
      </c>
      <c r="K58" s="79" t="s">
        <v>189</v>
      </c>
      <c r="L58" s="74" t="s">
        <v>190</v>
      </c>
      <c r="M58" s="75" t="s">
        <v>191</v>
      </c>
      <c r="N58" s="74" t="s">
        <v>63</v>
      </c>
      <c r="O58" s="74" t="s">
        <v>65</v>
      </c>
      <c r="P58" s="74" t="s">
        <v>67</v>
      </c>
      <c r="Q58" s="74" t="s">
        <v>69</v>
      </c>
      <c r="R58" s="74" t="s">
        <v>71</v>
      </c>
      <c r="S58" s="74" t="s">
        <v>111</v>
      </c>
      <c r="T58" s="74" t="s">
        <v>74</v>
      </c>
      <c r="U58" s="74" t="s">
        <v>76</v>
      </c>
      <c r="V58" s="74" t="s">
        <v>78</v>
      </c>
      <c r="W58" s="74" t="s">
        <v>80</v>
      </c>
      <c r="X58" s="74" t="s">
        <v>82</v>
      </c>
      <c r="Y58" s="75" t="s">
        <v>84</v>
      </c>
      <c r="Z58" s="79" t="s">
        <v>203</v>
      </c>
      <c r="AA58" s="74" t="s">
        <v>202</v>
      </c>
      <c r="AB58" s="75" t="s">
        <v>204</v>
      </c>
      <c r="AC58" s="319" t="s">
        <v>647</v>
      </c>
      <c r="AD58" s="74" t="s">
        <v>189</v>
      </c>
      <c r="AE58" s="74" t="s">
        <v>190</v>
      </c>
      <c r="AF58" s="75" t="s">
        <v>191</v>
      </c>
      <c r="AG58" s="319" t="s">
        <v>201</v>
      </c>
    </row>
    <row r="59" spans="1:33">
      <c r="A59">
        <v>1</v>
      </c>
      <c r="B59" s="36" t="s">
        <v>112</v>
      </c>
      <c r="C59" s="37" t="s">
        <v>507</v>
      </c>
      <c r="D59" s="37">
        <f>IF($C59="","",VLOOKUP($C59,CTPit!$E$10:$BG$214,D$4,FALSE))</f>
        <v>23</v>
      </c>
      <c r="E59" s="37" t="str">
        <f>IF($C59="","",VLOOKUP($C59,CTPit!$E$10:$BG$214,E$4+1,FALSE))</f>
        <v>L</v>
      </c>
      <c r="F59" s="53">
        <f t="shared" ref="F59:F60" si="78">IF($C59="","",IF(AG59&gt;7,1,0))</f>
        <v>1</v>
      </c>
      <c r="G59" s="288">
        <f t="shared" ref="G59:G60" si="79">IF($C59="","",IF(AG59&gt;6.5,1,0))</f>
        <v>1</v>
      </c>
      <c r="H59" s="289">
        <f t="shared" ref="H59:H60" si="80">IF($C59="","",IF(AG59&gt;6,1,0))</f>
        <v>1</v>
      </c>
      <c r="I59" s="99" t="str">
        <f>IF($C59="","",VLOOKUP($C59,CTPit!$E$10:$BG$172,I$49,FALSE))</f>
        <v>L</v>
      </c>
      <c r="J59" s="288">
        <f>IF($C59="","",COUNT(N59:Y59))</f>
        <v>2</v>
      </c>
      <c r="K59" s="53">
        <f>IF($C59="","",VLOOKUP($C59,CTPit!$E$10:$BG$172,K$49,FALSE))</f>
        <v>6</v>
      </c>
      <c r="L59" s="288">
        <f>IF($C59="","",VLOOKUP($C59,CTPit!$E$10:$BG$172,L$49,FALSE))</f>
        <v>5</v>
      </c>
      <c r="M59" s="289">
        <f>IF($C59="","",VLOOKUP($C59,CTPit!$E$10:$BG$172,M$49,FALSE))</f>
        <v>4</v>
      </c>
      <c r="N59" s="288">
        <f>IF($C59="","",VLOOKUP($C59,CTPit!$E$10:$BG$172,N$49,FALSE))</f>
        <v>7</v>
      </c>
      <c r="O59" s="288" t="str">
        <f>IF($C59="","",VLOOKUP($C59,CTPit!$E$10:$BG$172,O$49,FALSE))</f>
        <v>-</v>
      </c>
      <c r="P59" s="288">
        <f>IF($C59="","",VLOOKUP($C59,CTPit!$E$10:$BG$172,P$49,FALSE))</f>
        <v>6</v>
      </c>
      <c r="Q59" s="288" t="str">
        <f>IF($C59="","",VLOOKUP($C59,CTPit!$E$10:$BG$172,Q$49,FALSE))</f>
        <v>-</v>
      </c>
      <c r="R59" s="288" t="str">
        <f>IF($C59="","",VLOOKUP($C59,CTPit!$E$10:$BG$172,R$49,FALSE))</f>
        <v>-</v>
      </c>
      <c r="S59" s="288" t="str">
        <f>IF($C59="","",VLOOKUP($C59,CTPit!$E$10:$BG$172,S$49,FALSE))</f>
        <v>-</v>
      </c>
      <c r="T59" s="288" t="str">
        <f>IF($C59="","",VLOOKUP($C59,CTPit!$E$10:$BG$172,T$49,FALSE))</f>
        <v>-</v>
      </c>
      <c r="U59" s="288" t="str">
        <f>IF($C59="","",VLOOKUP($C59,CTPit!$E$10:$BG$172,U$49,FALSE))</f>
        <v>-</v>
      </c>
      <c r="V59" s="288" t="str">
        <f>IF($C59="","",VLOOKUP($C59,CTPit!$E$10:$BG$172,V$49,FALSE))</f>
        <v>-</v>
      </c>
      <c r="W59" s="288" t="str">
        <f>IF($C59="","",VLOOKUP($C59,CTPit!$E$10:$BG$172,W$49,FALSE))</f>
        <v>-</v>
      </c>
      <c r="X59" s="288" t="str">
        <f>IF($C59="","",VLOOKUP($C59,CTPit!$E$10:$BG$172,X$49,FALSE))</f>
        <v>-</v>
      </c>
      <c r="Y59" s="289" t="str">
        <f>IF($C59="","",VLOOKUP($C59,CTPit!$E$10:$BG$172,Y$49,FALSE))</f>
        <v>-</v>
      </c>
      <c r="Z59" s="53" t="str">
        <f>IF($C59="","",VLOOKUP($C59,CTPit!$E$10:$BG$172,Z$49,FALSE))</f>
        <v>94-96 Mph</v>
      </c>
      <c r="AA59" s="288">
        <f>IF($C59="","",VLOOKUP($C59,CTPit!$E$10:$BG$172,AA$49,FALSE))</f>
        <v>1</v>
      </c>
      <c r="AB59" s="80">
        <f>IF($C59="","",VLOOKUP($C59,CTPit!$E$10:$BG$172,AB$49,FALSE))</f>
        <v>0.52</v>
      </c>
      <c r="AC59" s="320">
        <f>IF($C59="","",VLOOKUP($C59,CTPit!$E$10:$BG$172,AC$49,FALSE))</f>
        <v>5.25</v>
      </c>
      <c r="AD59" s="288">
        <f>IF($C59="","",VLOOKUP($C59,CTPit!$E$10:$BG$172,AD$49,FALSE))</f>
        <v>7</v>
      </c>
      <c r="AE59" s="288">
        <f>IF($C59="","",VLOOKUP($C59,CTPit!$E$10:$BG$172,AE$49,FALSE))</f>
        <v>6</v>
      </c>
      <c r="AF59" s="289">
        <f>IF($C59="","",VLOOKUP($C59,CTPit!$E$10:$BG$172,AF$49,FALSE))</f>
        <v>8</v>
      </c>
      <c r="AG59" s="320">
        <f>IF($C59="","",VLOOKUP($C59,CTPit!$E$10:$BG$172,AG$49,FALSE))</f>
        <v>7.25</v>
      </c>
    </row>
    <row r="60" spans="1:33">
      <c r="A60">
        <v>2</v>
      </c>
      <c r="B60" s="39" t="s">
        <v>132</v>
      </c>
      <c r="C60" s="40"/>
      <c r="D60" s="40" t="str">
        <f>IF($C60="","",VLOOKUP($C60,CTPit!$E$10:$BG$214,D$4,FALSE))</f>
        <v/>
      </c>
      <c r="E60" s="40" t="str">
        <f>IF($C60="","",VLOOKUP($C60,CTPit!$E$10:$BG$214,E$4+1,FALSE))</f>
        <v/>
      </c>
      <c r="F60" s="54" t="str">
        <f t="shared" si="78"/>
        <v/>
      </c>
      <c r="G60" s="286" t="str">
        <f t="shared" si="79"/>
        <v/>
      </c>
      <c r="H60" s="287" t="str">
        <f t="shared" si="80"/>
        <v/>
      </c>
      <c r="I60" s="101" t="str">
        <f>IF($C60="","",VLOOKUP($C60,CTPit!$E$10:$BG$172,I$49,FALSE))</f>
        <v/>
      </c>
      <c r="J60" s="286" t="str">
        <f>IF($C60="","",COUNT(N60:Y60))</f>
        <v/>
      </c>
      <c r="K60" s="54" t="str">
        <f>IF($C60="","",VLOOKUP($C60,CTPit!$E$10:$BG$172,K$49,FALSE))</f>
        <v/>
      </c>
      <c r="L60" s="286" t="str">
        <f>IF($C60="","",VLOOKUP($C60,CTPit!$E$10:$BG$172,L$49,FALSE))</f>
        <v/>
      </c>
      <c r="M60" s="287" t="str">
        <f>IF($C60="","",VLOOKUP($C60,CTPit!$E$10:$BG$172,M$49,FALSE))</f>
        <v/>
      </c>
      <c r="N60" s="286" t="str">
        <f>IF($C60="","",VLOOKUP($C60,CTPit!$E$10:$BG$172,N$49,FALSE))</f>
        <v/>
      </c>
      <c r="O60" s="286" t="str">
        <f>IF($C60="","",VLOOKUP($C60,CTPit!$E$10:$BG$172,O$49,FALSE))</f>
        <v/>
      </c>
      <c r="P60" s="286" t="str">
        <f>IF($C60="","",VLOOKUP($C60,CTPit!$E$10:$BG$172,P$49,FALSE))</f>
        <v/>
      </c>
      <c r="Q60" s="286" t="str">
        <f>IF($C60="","",VLOOKUP($C60,CTPit!$E$10:$BG$172,Q$49,FALSE))</f>
        <v/>
      </c>
      <c r="R60" s="286" t="str">
        <f>IF($C60="","",VLOOKUP($C60,CTPit!$E$10:$BG$172,R$49,FALSE))</f>
        <v/>
      </c>
      <c r="S60" s="286" t="str">
        <f>IF($C60="","",VLOOKUP($C60,CTPit!$E$10:$BG$172,S$49,FALSE))</f>
        <v/>
      </c>
      <c r="T60" s="286" t="str">
        <f>IF($C60="","",VLOOKUP($C60,CTPit!$E$10:$BG$172,T$49,FALSE))</f>
        <v/>
      </c>
      <c r="U60" s="286" t="str">
        <f>IF($C60="","",VLOOKUP($C60,CTPit!$E$10:$BG$172,U$49,FALSE))</f>
        <v/>
      </c>
      <c r="V60" s="286" t="str">
        <f>IF($C60="","",VLOOKUP($C60,CTPit!$E$10:$BG$172,V$49,FALSE))</f>
        <v/>
      </c>
      <c r="W60" s="286" t="str">
        <f>IF($C60="","",VLOOKUP($C60,CTPit!$E$10:$BG$172,W$49,FALSE))</f>
        <v/>
      </c>
      <c r="X60" s="286" t="str">
        <f>IF($C60="","",VLOOKUP($C60,CTPit!$E$10:$BG$172,X$49,FALSE))</f>
        <v/>
      </c>
      <c r="Y60" s="287" t="str">
        <f>IF($C60="","",VLOOKUP($C60,CTPit!$E$10:$BG$172,Y$49,FALSE))</f>
        <v/>
      </c>
      <c r="Z60" s="54" t="str">
        <f>IF($C60="","",VLOOKUP($C60,CTPit!$E$10:$BG$172,Z$49,FALSE))</f>
        <v/>
      </c>
      <c r="AA60" s="286" t="str">
        <f>IF($C60="","",VLOOKUP($C60,CTPit!$E$10:$BG$172,AA$49,FALSE))</f>
        <v/>
      </c>
      <c r="AB60" s="81" t="str">
        <f>IF($C60="","",VLOOKUP($C60,CTPit!$E$10:$BG$172,AB$49,FALSE))</f>
        <v/>
      </c>
      <c r="AC60" s="68" t="str">
        <f>IF($C60="","",VLOOKUP($C60,CTPit!$E$10:$BG$172,AC$49,FALSE))</f>
        <v/>
      </c>
      <c r="AD60" s="286" t="str">
        <f>IF($C60="","",VLOOKUP($C60,CTPit!$E$10:$BG$172,AD$49,FALSE))</f>
        <v/>
      </c>
      <c r="AE60" s="286" t="str">
        <f>IF($C60="","",VLOOKUP($C60,CTPit!$E$10:$BG$172,AE$49,FALSE))</f>
        <v/>
      </c>
      <c r="AF60" s="287" t="str">
        <f>IF($C60="","",VLOOKUP($C60,CTPit!$E$10:$BG$172,AF$49,FALSE))</f>
        <v/>
      </c>
      <c r="AG60" s="68" t="str">
        <f>IF($C60="","",VLOOKUP($C60,CTPit!$E$10:$BG$172,AG$49,FALSE))</f>
        <v/>
      </c>
    </row>
    <row r="61" spans="1:33">
      <c r="Z61" s="288"/>
      <c r="AA61" s="288"/>
      <c r="AB61" s="288"/>
    </row>
    <row r="62" spans="1:33" ht="57">
      <c r="A62" s="25" t="s">
        <v>196</v>
      </c>
      <c r="B62" s="283" t="s">
        <v>133</v>
      </c>
      <c r="C62" s="44" t="s">
        <v>121</v>
      </c>
      <c r="D62" s="44" t="s">
        <v>94</v>
      </c>
      <c r="E62" s="44" t="s">
        <v>105</v>
      </c>
      <c r="F62" s="55" t="s">
        <v>193</v>
      </c>
      <c r="G62" s="47" t="s">
        <v>194</v>
      </c>
      <c r="H62" s="56" t="s">
        <v>195</v>
      </c>
      <c r="I62" s="76" t="s">
        <v>217</v>
      </c>
      <c r="J62" s="47" t="s">
        <v>192</v>
      </c>
      <c r="K62" s="79" t="s">
        <v>189</v>
      </c>
      <c r="L62" s="74" t="s">
        <v>190</v>
      </c>
      <c r="M62" s="75" t="s">
        <v>191</v>
      </c>
      <c r="N62" s="74" t="s">
        <v>63</v>
      </c>
      <c r="O62" s="74" t="s">
        <v>65</v>
      </c>
      <c r="P62" s="74" t="s">
        <v>67</v>
      </c>
      <c r="Q62" s="74" t="s">
        <v>69</v>
      </c>
      <c r="R62" s="74" t="s">
        <v>71</v>
      </c>
      <c r="S62" s="74" t="s">
        <v>111</v>
      </c>
      <c r="T62" s="74" t="s">
        <v>74</v>
      </c>
      <c r="U62" s="74" t="s">
        <v>76</v>
      </c>
      <c r="V62" s="74" t="s">
        <v>78</v>
      </c>
      <c r="W62" s="74" t="s">
        <v>80</v>
      </c>
      <c r="X62" s="74" t="s">
        <v>82</v>
      </c>
      <c r="Y62" s="75" t="s">
        <v>84</v>
      </c>
      <c r="Z62" s="79" t="s">
        <v>203</v>
      </c>
      <c r="AA62" s="74" t="s">
        <v>202</v>
      </c>
      <c r="AB62" s="75" t="s">
        <v>204</v>
      </c>
      <c r="AC62" s="319" t="s">
        <v>647</v>
      </c>
      <c r="AD62" s="74" t="s">
        <v>189</v>
      </c>
      <c r="AE62" s="74" t="s">
        <v>190</v>
      </c>
      <c r="AF62" s="75" t="s">
        <v>191</v>
      </c>
      <c r="AG62" s="319" t="s">
        <v>201</v>
      </c>
    </row>
    <row r="63" spans="1:33">
      <c r="A63">
        <v>1</v>
      </c>
      <c r="B63" s="36" t="s">
        <v>134</v>
      </c>
      <c r="C63" s="37" t="s">
        <v>57</v>
      </c>
      <c r="D63" s="37">
        <f>IF($C63="","",VLOOKUP($C63,CTPit!$E$10:$BG$214,D$4,FALSE))</f>
        <v>23</v>
      </c>
      <c r="E63" s="37" t="str">
        <f>IF($C63="","",VLOOKUP($C63,CTPit!$E$10:$BG$214,E$4+1,FALSE))</f>
        <v>L</v>
      </c>
      <c r="F63" s="53">
        <f t="shared" ref="F63:F72" si="81">IF($C63="","",IF(AG63&gt;7,1,0))</f>
        <v>0</v>
      </c>
      <c r="G63" s="288">
        <f t="shared" ref="G63:G72" si="82">IF($C63="","",IF(AG63&gt;6.5,1,0))</f>
        <v>0</v>
      </c>
      <c r="H63" s="289">
        <f t="shared" ref="H63:H72" si="83">IF($C63="","",IF(AG63&gt;6,1,0))</f>
        <v>1</v>
      </c>
      <c r="I63" s="100" t="str">
        <f>IF($C63="","",VLOOKUP($C63,CTPit!$E$10:$BG$172,I$49,FALSE))</f>
        <v>L</v>
      </c>
      <c r="J63" s="288">
        <f t="shared" ref="J63:J72" si="84">IF($C63="","",COUNT(N63:Y63))</f>
        <v>2</v>
      </c>
      <c r="K63" s="53">
        <f>IF($C63="","",VLOOKUP($C63,CTPit!$E$10:$BG$172,K$49,FALSE))</f>
        <v>10</v>
      </c>
      <c r="L63" s="288">
        <f>IF($C63="","",VLOOKUP($C63,CTPit!$E$10:$BG$172,L$49,FALSE))</f>
        <v>4</v>
      </c>
      <c r="M63" s="289">
        <f>IF($C63="","",VLOOKUP($C63,CTPit!$E$10:$BG$172,M$49,FALSE))</f>
        <v>3</v>
      </c>
      <c r="N63" s="288">
        <f>IF($C63="","",VLOOKUP($C63,CTPit!$E$10:$BG$172,N$49,FALSE))</f>
        <v>10</v>
      </c>
      <c r="O63" s="288" t="str">
        <f>IF($C63="","",VLOOKUP($C63,CTPit!$E$10:$BG$172,O$49,FALSE))</f>
        <v>-</v>
      </c>
      <c r="P63" s="288" t="str">
        <f>IF($C63="","",VLOOKUP($C63,CTPit!$E$10:$BG$172,P$49,FALSE))</f>
        <v>-</v>
      </c>
      <c r="Q63" s="288">
        <f>IF($C63="","",VLOOKUP($C63,CTPit!$E$10:$BG$172,Q$49,FALSE))</f>
        <v>10</v>
      </c>
      <c r="R63" s="288" t="str">
        <f>IF($C63="","",VLOOKUP($C63,CTPit!$E$10:$BG$172,R$49,FALSE))</f>
        <v>-</v>
      </c>
      <c r="S63" s="288" t="str">
        <f>IF($C63="","",VLOOKUP($C63,CTPit!$E$10:$BG$172,S$49,FALSE))</f>
        <v>-</v>
      </c>
      <c r="T63" s="288" t="str">
        <f>IF($C63="","",VLOOKUP($C63,CTPit!$E$10:$BG$172,T$49,FALSE))</f>
        <v>-</v>
      </c>
      <c r="U63" s="288" t="str">
        <f>IF($C63="","",VLOOKUP($C63,CTPit!$E$10:$BG$172,U$49,FALSE))</f>
        <v>-</v>
      </c>
      <c r="V63" s="288" t="str">
        <f>IF($C63="","",VLOOKUP($C63,CTPit!$E$10:$BG$172,V$49,FALSE))</f>
        <v>-</v>
      </c>
      <c r="W63" s="288" t="str">
        <f>IF($C63="","",VLOOKUP($C63,CTPit!$E$10:$BG$172,W$49,FALSE))</f>
        <v>-</v>
      </c>
      <c r="X63" s="288" t="str">
        <f>IF($C63="","",VLOOKUP($C63,CTPit!$E$10:$BG$172,X$49,FALSE))</f>
        <v>-</v>
      </c>
      <c r="Y63" s="289" t="str">
        <f>IF($C63="","",VLOOKUP($C63,CTPit!$E$10:$BG$172,Y$49,FALSE))</f>
        <v>-</v>
      </c>
      <c r="Z63" s="53" t="str">
        <f>IF($C63="","",VLOOKUP($C63,CTPit!$E$10:$BG$172,Z$49,FALSE))</f>
        <v>99-101 Mph</v>
      </c>
      <c r="AA63" s="288">
        <f>IF($C63="","",VLOOKUP($C63,CTPit!$E$10:$BG$172,AA$49,FALSE))</f>
        <v>7</v>
      </c>
      <c r="AB63" s="80">
        <f>IF($C63="","",VLOOKUP($C63,CTPit!$E$10:$BG$172,AB$49,FALSE))</f>
        <v>0.38</v>
      </c>
      <c r="AC63" s="320">
        <f>IF($C63="","",VLOOKUP($C63,CTPit!$E$10:$BG$172,AC$49,FALSE))</f>
        <v>5.916666666666667</v>
      </c>
      <c r="AD63" s="288">
        <f>IF($C63="","",VLOOKUP($C63,CTPit!$E$10:$BG$172,AD$49,FALSE))</f>
        <v>10</v>
      </c>
      <c r="AE63" s="288">
        <f>IF($C63="","",VLOOKUP($C63,CTPit!$E$10:$BG$172,AE$49,FALSE))</f>
        <v>4</v>
      </c>
      <c r="AF63" s="289">
        <f>IF($C63="","",VLOOKUP($C63,CTPit!$E$10:$BG$172,AF$49,FALSE))</f>
        <v>4</v>
      </c>
      <c r="AG63" s="320">
        <f>IF($C63="","",VLOOKUP($C63,CTPit!$E$10:$BG$172,AG$49,FALSE))</f>
        <v>6.25</v>
      </c>
    </row>
    <row r="64" spans="1:33">
      <c r="A64">
        <v>2</v>
      </c>
      <c r="B64" s="36" t="s">
        <v>135</v>
      </c>
      <c r="C64" s="65" t="s">
        <v>444</v>
      </c>
      <c r="D64" s="37">
        <f>IF($C64="","",VLOOKUP($C64,CTPit!$E$10:$BG$214,D$4,FALSE))</f>
        <v>22</v>
      </c>
      <c r="E64" s="37" t="str">
        <f>IF($C64="","",VLOOKUP($C64,CTPit!$E$10:$BG$214,E$4+1,FALSE))</f>
        <v>R</v>
      </c>
      <c r="F64" s="53">
        <f t="shared" si="81"/>
        <v>0</v>
      </c>
      <c r="G64" s="288">
        <f t="shared" si="82"/>
        <v>1</v>
      </c>
      <c r="H64" s="289">
        <f t="shared" si="83"/>
        <v>1</v>
      </c>
      <c r="I64" s="100" t="str">
        <f>IF($C64="","",VLOOKUP($C64,CTPit!$E$10:$BG$172,I$49,FALSE))</f>
        <v>R</v>
      </c>
      <c r="J64" s="288">
        <f t="shared" si="84"/>
        <v>3</v>
      </c>
      <c r="K64" s="53">
        <f>IF($C64="","",VLOOKUP($C64,CTPit!$E$10:$BG$172,K$49,FALSE))</f>
        <v>9</v>
      </c>
      <c r="L64" s="288">
        <f>IF($C64="","",VLOOKUP($C64,CTPit!$E$10:$BG$172,L$49,FALSE))</f>
        <v>6</v>
      </c>
      <c r="M64" s="289">
        <f>IF($C64="","",VLOOKUP($C64,CTPit!$E$10:$BG$172,M$49,FALSE))</f>
        <v>3</v>
      </c>
      <c r="N64" s="288">
        <f>IF($C64="","",VLOOKUP($C64,CTPit!$E$10:$BG$172,N$49,FALSE))</f>
        <v>9</v>
      </c>
      <c r="O64" s="288" t="str">
        <f>IF($C64="","",VLOOKUP($C64,CTPit!$E$10:$BG$172,O$49,FALSE))</f>
        <v>-</v>
      </c>
      <c r="P64" s="288" t="str">
        <f>IF($C64="","",VLOOKUP($C64,CTPit!$E$10:$BG$172,P$49,FALSE))</f>
        <v>-</v>
      </c>
      <c r="Q64" s="288">
        <f>IF($C64="","",VLOOKUP($C64,CTPit!$E$10:$BG$172,Q$49,FALSE))</f>
        <v>7</v>
      </c>
      <c r="R64" s="288">
        <f>IF($C64="","",VLOOKUP($C64,CTPit!$E$10:$BG$172,R$49,FALSE))</f>
        <v>6</v>
      </c>
      <c r="S64" s="288" t="str">
        <f>IF($C64="","",VLOOKUP($C64,CTPit!$E$10:$BG$172,S$49,FALSE))</f>
        <v>-</v>
      </c>
      <c r="T64" s="288" t="str">
        <f>IF($C64="","",VLOOKUP($C64,CTPit!$E$10:$BG$172,T$49,FALSE))</f>
        <v>-</v>
      </c>
      <c r="U64" s="288" t="str">
        <f>IF($C64="","",VLOOKUP($C64,CTPit!$E$10:$BG$172,U$49,FALSE))</f>
        <v>-</v>
      </c>
      <c r="V64" s="288" t="str">
        <f>IF($C64="","",VLOOKUP($C64,CTPit!$E$10:$BG$172,V$49,FALSE))</f>
        <v>-</v>
      </c>
      <c r="W64" s="288" t="str">
        <f>IF($C64="","",VLOOKUP($C64,CTPit!$E$10:$BG$172,W$49,FALSE))</f>
        <v>-</v>
      </c>
      <c r="X64" s="288" t="str">
        <f>IF($C64="","",VLOOKUP($C64,CTPit!$E$10:$BG$172,X$49,FALSE))</f>
        <v>-</v>
      </c>
      <c r="Y64" s="289" t="str">
        <f>IF($C64="","",VLOOKUP($C64,CTPit!$E$10:$BG$172,Y$49,FALSE))</f>
        <v>-</v>
      </c>
      <c r="Z64" s="53" t="str">
        <f>IF($C64="","",VLOOKUP($C64,CTPit!$E$10:$BG$172,Z$49,FALSE))</f>
        <v>98-100 Mph</v>
      </c>
      <c r="AA64" s="288">
        <f>IF($C64="","",VLOOKUP($C64,CTPit!$E$10:$BG$172,AA$49,FALSE))</f>
        <v>2</v>
      </c>
      <c r="AB64" s="80">
        <f>IF($C64="","",VLOOKUP($C64,CTPit!$E$10:$BG$172,AB$49,FALSE))</f>
        <v>0.5</v>
      </c>
      <c r="AC64" s="67">
        <f>IF($C64="","",VLOOKUP($C64,CTPit!$E$10:$BG$172,AC$49,FALSE))</f>
        <v>6.25</v>
      </c>
      <c r="AD64" s="288">
        <f>IF($C64="","",VLOOKUP($C64,CTPit!$E$10:$BG$172,AD$49,FALSE))</f>
        <v>9</v>
      </c>
      <c r="AE64" s="288">
        <f>IF($C64="","",VLOOKUP($C64,CTPit!$E$10:$BG$172,AE$49,FALSE))</f>
        <v>6</v>
      </c>
      <c r="AF64" s="289">
        <f>IF($C64="","",VLOOKUP($C64,CTPit!$E$10:$BG$172,AF$49,FALSE))</f>
        <v>4</v>
      </c>
      <c r="AG64" s="67">
        <f>IF($C64="","",VLOOKUP($C64,CTPit!$E$10:$BG$172,AG$49,FALSE))</f>
        <v>6.583333333333333</v>
      </c>
    </row>
    <row r="65" spans="1:33">
      <c r="A65">
        <v>3</v>
      </c>
      <c r="B65" s="36" t="s">
        <v>19</v>
      </c>
      <c r="C65" s="65" t="s">
        <v>320</v>
      </c>
      <c r="D65" s="37">
        <f>IF($C65="","",VLOOKUP($C65,CTPit!$E$10:$BG$214,D$4,FALSE))</f>
        <v>27</v>
      </c>
      <c r="E65" s="37" t="str">
        <f>IF($C65="","",VLOOKUP($C65,CTPit!$E$10:$BG$214,E$4+1,FALSE))</f>
        <v>R</v>
      </c>
      <c r="F65" s="53">
        <f t="shared" si="81"/>
        <v>0</v>
      </c>
      <c r="G65" s="288">
        <f t="shared" si="82"/>
        <v>0</v>
      </c>
      <c r="H65" s="289">
        <f t="shared" si="83"/>
        <v>0</v>
      </c>
      <c r="I65" s="100" t="str">
        <f>IF($C65="","",VLOOKUP($C65,CTPit!$E$10:$BG$172,I$49,FALSE))</f>
        <v>R</v>
      </c>
      <c r="J65" s="288">
        <f t="shared" si="84"/>
        <v>5</v>
      </c>
      <c r="K65" s="53">
        <f>IF($C65="","",VLOOKUP($C65,CTPit!$E$10:$BG$172,K$49,FALSE))</f>
        <v>4</v>
      </c>
      <c r="L65" s="288">
        <f>IF($C65="","",VLOOKUP($C65,CTPit!$E$10:$BG$172,L$49,FALSE))</f>
        <v>7</v>
      </c>
      <c r="M65" s="289">
        <f>IF($C65="","",VLOOKUP($C65,CTPit!$E$10:$BG$172,M$49,FALSE))</f>
        <v>5</v>
      </c>
      <c r="N65" s="288">
        <f>IF($C65="","",VLOOKUP($C65,CTPit!$E$10:$BG$172,N$49,FALSE))</f>
        <v>4</v>
      </c>
      <c r="O65" s="288">
        <f>IF($C65="","",VLOOKUP($C65,CTPit!$E$10:$BG$172,O$49,FALSE))</f>
        <v>5</v>
      </c>
      <c r="P65" s="288">
        <f>IF($C65="","",VLOOKUP($C65,CTPit!$E$10:$BG$172,P$49,FALSE))</f>
        <v>3</v>
      </c>
      <c r="Q65" s="288" t="str">
        <f>IF($C65="","",VLOOKUP($C65,CTPit!$E$10:$BG$172,Q$49,FALSE))</f>
        <v>-</v>
      </c>
      <c r="R65" s="288" t="str">
        <f>IF($C65="","",VLOOKUP($C65,CTPit!$E$10:$BG$172,R$49,FALSE))</f>
        <v>-</v>
      </c>
      <c r="S65" s="288" t="str">
        <f>IF($C65="","",VLOOKUP($C65,CTPit!$E$10:$BG$172,S$49,FALSE))</f>
        <v>-</v>
      </c>
      <c r="T65" s="288">
        <f>IF($C65="","",VLOOKUP($C65,CTPit!$E$10:$BG$172,T$49,FALSE))</f>
        <v>5</v>
      </c>
      <c r="U65" s="288" t="str">
        <f>IF($C65="","",VLOOKUP($C65,CTPit!$E$10:$BG$172,U$49,FALSE))</f>
        <v>-</v>
      </c>
      <c r="V65" s="288" t="str">
        <f>IF($C65="","",VLOOKUP($C65,CTPit!$E$10:$BG$172,V$49,FALSE))</f>
        <v>-</v>
      </c>
      <c r="W65" s="288" t="str">
        <f>IF($C65="","",VLOOKUP($C65,CTPit!$E$10:$BG$172,W$49,FALSE))</f>
        <v>-</v>
      </c>
      <c r="X65" s="288">
        <f>IF($C65="","",VLOOKUP($C65,CTPit!$E$10:$BG$172,X$49,FALSE))</f>
        <v>2</v>
      </c>
      <c r="Y65" s="289" t="str">
        <f>IF($C65="","",VLOOKUP($C65,CTPit!$E$10:$BG$172,Y$49,FALSE))</f>
        <v>-</v>
      </c>
      <c r="Z65" s="53" t="str">
        <f>IF($C65="","",VLOOKUP($C65,CTPit!$E$10:$BG$172,Z$49,FALSE))</f>
        <v>90-92 Mph</v>
      </c>
      <c r="AA65" s="288">
        <f>IF($C65="","",VLOOKUP($C65,CTPit!$E$10:$BG$172,AA$49,FALSE))</f>
        <v>2</v>
      </c>
      <c r="AB65" s="80">
        <f>IF($C65="","",VLOOKUP($C65,CTPit!$E$10:$BG$172,AB$49,FALSE))</f>
        <v>0.48</v>
      </c>
      <c r="AC65" s="67">
        <f>IF($C65="","",VLOOKUP($C65,CTPit!$E$10:$BG$172,AC$49,FALSE))</f>
        <v>5.833333333333333</v>
      </c>
      <c r="AD65" s="288">
        <f>IF($C65="","",VLOOKUP($C65,CTPit!$E$10:$BG$172,AD$49,FALSE))</f>
        <v>4</v>
      </c>
      <c r="AE65" s="288">
        <f>IF($C65="","",VLOOKUP($C65,CTPit!$E$10:$BG$172,AE$49,FALSE))</f>
        <v>7</v>
      </c>
      <c r="AF65" s="289">
        <f>IF($C65="","",VLOOKUP($C65,CTPit!$E$10:$BG$172,AF$49,FALSE))</f>
        <v>5</v>
      </c>
      <c r="AG65" s="67">
        <f>IF($C65="","",VLOOKUP($C65,CTPit!$E$10:$BG$172,AG$49,FALSE))</f>
        <v>5.833333333333333</v>
      </c>
    </row>
    <row r="66" spans="1:33">
      <c r="A66">
        <v>4</v>
      </c>
      <c r="B66" s="36" t="s">
        <v>19</v>
      </c>
      <c r="C66" s="65" t="s">
        <v>583</v>
      </c>
      <c r="D66" s="37">
        <f>IF($C66="","",VLOOKUP($C66,CTPit!$E$10:$BG$214,D$4,FALSE))</f>
        <v>31</v>
      </c>
      <c r="E66" s="37" t="str">
        <f>IF($C66="","",VLOOKUP($C66,CTPit!$E$10:$BG$214,E$4+1,FALSE))</f>
        <v>L</v>
      </c>
      <c r="F66" s="53">
        <f t="shared" si="81"/>
        <v>0</v>
      </c>
      <c r="G66" s="288">
        <f t="shared" si="82"/>
        <v>0</v>
      </c>
      <c r="H66" s="289">
        <f t="shared" si="83"/>
        <v>0</v>
      </c>
      <c r="I66" s="100" t="str">
        <f>IF($C66="","",VLOOKUP($C66,CTPit!$E$10:$BG$172,I$49,FALSE))</f>
        <v>L</v>
      </c>
      <c r="J66" s="288">
        <f t="shared" si="84"/>
        <v>3</v>
      </c>
      <c r="K66" s="53">
        <f>IF($C66="","",VLOOKUP($C66,CTPit!$E$10:$BG$172,K$49,FALSE))</f>
        <v>4</v>
      </c>
      <c r="L66" s="288">
        <f>IF($C66="","",VLOOKUP($C66,CTPit!$E$10:$BG$172,L$49,FALSE))</f>
        <v>5</v>
      </c>
      <c r="M66" s="289">
        <f>IF($C66="","",VLOOKUP($C66,CTPit!$E$10:$BG$172,M$49,FALSE))</f>
        <v>7</v>
      </c>
      <c r="N66" s="288">
        <f>IF($C66="","",VLOOKUP($C66,CTPit!$E$10:$BG$172,N$49,FALSE))</f>
        <v>4</v>
      </c>
      <c r="O66" s="288">
        <f>IF($C66="","",VLOOKUP($C66,CTPit!$E$10:$BG$172,O$49,FALSE))</f>
        <v>4</v>
      </c>
      <c r="P66" s="288">
        <f>IF($C66="","",VLOOKUP($C66,CTPit!$E$10:$BG$172,P$49,FALSE))</f>
        <v>5</v>
      </c>
      <c r="Q66" s="288" t="str">
        <f>IF($C66="","",VLOOKUP($C66,CTPit!$E$10:$BG$172,Q$49,FALSE))</f>
        <v>-</v>
      </c>
      <c r="R66" s="288" t="str">
        <f>IF($C66="","",VLOOKUP($C66,CTPit!$E$10:$BG$172,R$49,FALSE))</f>
        <v>-</v>
      </c>
      <c r="S66" s="288" t="str">
        <f>IF($C66="","",VLOOKUP($C66,CTPit!$E$10:$BG$172,S$49,FALSE))</f>
        <v>-</v>
      </c>
      <c r="T66" s="288" t="str">
        <f>IF($C66="","",VLOOKUP($C66,CTPit!$E$10:$BG$172,T$49,FALSE))</f>
        <v>-</v>
      </c>
      <c r="U66" s="288" t="str">
        <f>IF($C66="","",VLOOKUP($C66,CTPit!$E$10:$BG$172,U$49,FALSE))</f>
        <v>-</v>
      </c>
      <c r="V66" s="288" t="str">
        <f>IF($C66="","",VLOOKUP($C66,CTPit!$E$10:$BG$172,V$49,FALSE))</f>
        <v>-</v>
      </c>
      <c r="W66" s="288" t="str">
        <f>IF($C66="","",VLOOKUP($C66,CTPit!$E$10:$BG$172,W$49,FALSE))</f>
        <v>-</v>
      </c>
      <c r="X66" s="288" t="str">
        <f>IF($C66="","",VLOOKUP($C66,CTPit!$E$10:$BG$172,X$49,FALSE))</f>
        <v>-</v>
      </c>
      <c r="Y66" s="289" t="str">
        <f>IF($C66="","",VLOOKUP($C66,CTPit!$E$10:$BG$172,Y$49,FALSE))</f>
        <v>-</v>
      </c>
      <c r="Z66" s="53" t="str">
        <f>IF($C66="","",VLOOKUP($C66,CTPit!$E$10:$BG$172,Z$49,FALSE))</f>
        <v>87-89 Mph</v>
      </c>
      <c r="AA66" s="288">
        <f>IF($C66="","",VLOOKUP($C66,CTPit!$E$10:$BG$172,AA$49,FALSE))</f>
        <v>2</v>
      </c>
      <c r="AB66" s="80">
        <f>IF($C66="","",VLOOKUP($C66,CTPit!$E$10:$BG$172,AB$49,FALSE))</f>
        <v>0.52</v>
      </c>
      <c r="AC66" s="67">
        <f>IF($C66="","",VLOOKUP($C66,CTPit!$E$10:$BG$172,AC$49,FALSE))</f>
        <v>5.333333333333333</v>
      </c>
      <c r="AD66" s="288">
        <f>IF($C66="","",VLOOKUP($C66,CTPit!$E$10:$BG$172,AD$49,FALSE))</f>
        <v>4</v>
      </c>
      <c r="AE66" s="288">
        <f>IF($C66="","",VLOOKUP($C66,CTPit!$E$10:$BG$172,AE$49,FALSE))</f>
        <v>5</v>
      </c>
      <c r="AF66" s="289">
        <f>IF($C66="","",VLOOKUP($C66,CTPit!$E$10:$BG$172,AF$49,FALSE))</f>
        <v>7</v>
      </c>
      <c r="AG66" s="67">
        <f>IF($C66="","",VLOOKUP($C66,CTPit!$E$10:$BG$172,AG$49,FALSE))</f>
        <v>5.333333333333333</v>
      </c>
    </row>
    <row r="67" spans="1:33">
      <c r="A67">
        <v>5</v>
      </c>
      <c r="B67" s="36" t="s">
        <v>19</v>
      </c>
      <c r="C67" s="65" t="s">
        <v>557</v>
      </c>
      <c r="D67" s="37">
        <f>IF($C67="","",VLOOKUP($C67,CTPit!$E$10:$BG$214,D$4,FALSE))</f>
        <v>23</v>
      </c>
      <c r="E67" s="37" t="str">
        <f>IF($C67="","",VLOOKUP($C67,CTPit!$E$10:$BG$214,E$4+1,FALSE))</f>
        <v>R</v>
      </c>
      <c r="F67" s="53">
        <f t="shared" si="81"/>
        <v>0</v>
      </c>
      <c r="G67" s="288">
        <f t="shared" si="82"/>
        <v>0</v>
      </c>
      <c r="H67" s="289">
        <f t="shared" si="83"/>
        <v>0</v>
      </c>
      <c r="I67" s="100" t="str">
        <f>IF($C67="","",VLOOKUP($C67,CTPit!$E$10:$BG$172,I$49,FALSE))</f>
        <v>R</v>
      </c>
      <c r="J67" s="288">
        <f t="shared" si="84"/>
        <v>2</v>
      </c>
      <c r="K67" s="53">
        <f>IF($C67="","",VLOOKUP($C67,CTPit!$E$10:$BG$172,K$49,FALSE))</f>
        <v>6</v>
      </c>
      <c r="L67" s="288">
        <f>IF($C67="","",VLOOKUP($C67,CTPit!$E$10:$BG$172,L$49,FALSE))</f>
        <v>3</v>
      </c>
      <c r="M67" s="289">
        <f>IF($C67="","",VLOOKUP($C67,CTPit!$E$10:$BG$172,M$49,FALSE))</f>
        <v>2</v>
      </c>
      <c r="N67" s="288">
        <f>IF($C67="","",VLOOKUP($C67,CTPit!$E$10:$BG$172,N$49,FALSE))</f>
        <v>6</v>
      </c>
      <c r="O67" s="288" t="str">
        <f>IF($C67="","",VLOOKUP($C67,CTPit!$E$10:$BG$172,O$49,FALSE))</f>
        <v>-</v>
      </c>
      <c r="P67" s="288" t="str">
        <f>IF($C67="","",VLOOKUP($C67,CTPit!$E$10:$BG$172,P$49,FALSE))</f>
        <v>-</v>
      </c>
      <c r="Q67" s="288">
        <f>IF($C67="","",VLOOKUP($C67,CTPit!$E$10:$BG$172,Q$49,FALSE))</f>
        <v>5</v>
      </c>
      <c r="R67" s="288" t="str">
        <f>IF($C67="","",VLOOKUP($C67,CTPit!$E$10:$BG$172,R$49,FALSE))</f>
        <v>-</v>
      </c>
      <c r="S67" s="288" t="str">
        <f>IF($C67="","",VLOOKUP($C67,CTPit!$E$10:$BG$172,S$49,FALSE))</f>
        <v>-</v>
      </c>
      <c r="T67" s="288" t="str">
        <f>IF($C67="","",VLOOKUP($C67,CTPit!$E$10:$BG$172,T$49,FALSE))</f>
        <v>-</v>
      </c>
      <c r="U67" s="288" t="str">
        <f>IF($C67="","",VLOOKUP($C67,CTPit!$E$10:$BG$172,U$49,FALSE))</f>
        <v>-</v>
      </c>
      <c r="V67" s="288" t="str">
        <f>IF($C67="","",VLOOKUP($C67,CTPit!$E$10:$BG$172,V$49,FALSE))</f>
        <v>-</v>
      </c>
      <c r="W67" s="288" t="str">
        <f>IF($C67="","",VLOOKUP($C67,CTPit!$E$10:$BG$172,W$49,FALSE))</f>
        <v>-</v>
      </c>
      <c r="X67" s="288" t="str">
        <f>IF($C67="","",VLOOKUP($C67,CTPit!$E$10:$BG$172,X$49,FALSE))</f>
        <v>-</v>
      </c>
      <c r="Y67" s="289" t="str">
        <f>IF($C67="","",VLOOKUP($C67,CTPit!$E$10:$BG$172,Y$49,FALSE))</f>
        <v>-</v>
      </c>
      <c r="Z67" s="53" t="str">
        <f>IF($C67="","",VLOOKUP($C67,CTPit!$E$10:$BG$172,Z$49,FALSE))</f>
        <v>96-98 Mph</v>
      </c>
      <c r="AA67" s="288">
        <f>IF($C67="","",VLOOKUP($C67,CTPit!$E$10:$BG$172,AA$49,FALSE))</f>
        <v>2</v>
      </c>
      <c r="AB67" s="80">
        <f>IF($C67="","",VLOOKUP($C67,CTPit!$E$10:$BG$172,AB$49,FALSE))</f>
        <v>0.44</v>
      </c>
      <c r="AC67" s="67">
        <f>IF($C67="","",VLOOKUP($C67,CTPit!$E$10:$BG$172,AC$49,FALSE))</f>
        <v>3.9166666666666665</v>
      </c>
      <c r="AD67" s="288">
        <f>IF($C67="","",VLOOKUP($C67,CTPit!$E$10:$BG$172,AD$49,FALSE))</f>
        <v>7</v>
      </c>
      <c r="AE67" s="288">
        <f>IF($C67="","",VLOOKUP($C67,CTPit!$E$10:$BG$172,AE$49,FALSE))</f>
        <v>3</v>
      </c>
      <c r="AF67" s="289">
        <f>IF($C67="","",VLOOKUP($C67,CTPit!$E$10:$BG$172,AF$49,FALSE))</f>
        <v>4</v>
      </c>
      <c r="AG67" s="67">
        <f>IF($C67="","",VLOOKUP($C67,CTPit!$E$10:$BG$172,AG$49,FALSE))</f>
        <v>4.916666666666667</v>
      </c>
    </row>
    <row r="68" spans="1:33">
      <c r="A68">
        <v>6</v>
      </c>
      <c r="B68" s="36" t="s">
        <v>19</v>
      </c>
      <c r="C68" s="65" t="s">
        <v>508</v>
      </c>
      <c r="D68" s="37">
        <f>IF($C68="","",VLOOKUP($C68,CTPit!$E$10:$BG$214,D$4,FALSE))</f>
        <v>22</v>
      </c>
      <c r="E68" s="37" t="str">
        <f>IF($C68="","",VLOOKUP($C68,CTPit!$E$10:$BG$214,E$4+1,FALSE))</f>
        <v>R</v>
      </c>
      <c r="F68" s="53">
        <f t="shared" si="81"/>
        <v>0</v>
      </c>
      <c r="G68" s="288">
        <f t="shared" si="82"/>
        <v>1</v>
      </c>
      <c r="H68" s="289">
        <f t="shared" si="83"/>
        <v>1</v>
      </c>
      <c r="I68" s="100" t="str">
        <f>IF($C68="","",VLOOKUP($C68,CTPit!$E$10:$BG$172,I$49,FALSE))</f>
        <v>R</v>
      </c>
      <c r="J68" s="288">
        <f t="shared" si="84"/>
        <v>2</v>
      </c>
      <c r="K68" s="53">
        <f>IF($C68="","",VLOOKUP($C68,CTPit!$E$10:$BG$172,K$49,FALSE))</f>
        <v>9</v>
      </c>
      <c r="L68" s="288">
        <f>IF($C68="","",VLOOKUP($C68,CTPit!$E$10:$BG$172,L$49,FALSE))</f>
        <v>4</v>
      </c>
      <c r="M68" s="289">
        <f>IF($C68="","",VLOOKUP($C68,CTPit!$E$10:$BG$172,M$49,FALSE))</f>
        <v>3</v>
      </c>
      <c r="N68" s="288">
        <f>IF($C68="","",VLOOKUP($C68,CTPit!$E$10:$BG$172,N$49,FALSE))</f>
        <v>10</v>
      </c>
      <c r="O68" s="288" t="str">
        <f>IF($C68="","",VLOOKUP($C68,CTPit!$E$10:$BG$172,O$49,FALSE))</f>
        <v>-</v>
      </c>
      <c r="P68" s="288">
        <f>IF($C68="","",VLOOKUP($C68,CTPit!$E$10:$BG$172,P$49,FALSE))</f>
        <v>5</v>
      </c>
      <c r="Q68" s="288" t="str">
        <f>IF($C68="","",VLOOKUP($C68,CTPit!$E$10:$BG$172,Q$49,FALSE))</f>
        <v>-</v>
      </c>
      <c r="R68" s="288" t="str">
        <f>IF($C68="","",VLOOKUP($C68,CTPit!$E$10:$BG$172,R$49,FALSE))</f>
        <v>-</v>
      </c>
      <c r="S68" s="288" t="str">
        <f>IF($C68="","",VLOOKUP($C68,CTPit!$E$10:$BG$172,S$49,FALSE))</f>
        <v>-</v>
      </c>
      <c r="T68" s="288" t="str">
        <f>IF($C68="","",VLOOKUP($C68,CTPit!$E$10:$BG$172,T$49,FALSE))</f>
        <v>-</v>
      </c>
      <c r="U68" s="288" t="str">
        <f>IF($C68="","",VLOOKUP($C68,CTPit!$E$10:$BG$172,U$49,FALSE))</f>
        <v>-</v>
      </c>
      <c r="V68" s="288" t="str">
        <f>IF($C68="","",VLOOKUP($C68,CTPit!$E$10:$BG$172,V$49,FALSE))</f>
        <v>-</v>
      </c>
      <c r="W68" s="288" t="str">
        <f>IF($C68="","",VLOOKUP($C68,CTPit!$E$10:$BG$172,W$49,FALSE))</f>
        <v>-</v>
      </c>
      <c r="X68" s="288" t="str">
        <f>IF($C68="","",VLOOKUP($C68,CTPit!$E$10:$BG$172,X$49,FALSE))</f>
        <v>-</v>
      </c>
      <c r="Y68" s="289" t="str">
        <f>IF($C68="","",VLOOKUP($C68,CTPit!$E$10:$BG$172,Y$49,FALSE))</f>
        <v>-</v>
      </c>
      <c r="Z68" s="53" t="str">
        <f>IF($C68="","",VLOOKUP($C68,CTPit!$E$10:$BG$172,Z$49,FALSE))</f>
        <v>99-101 Mph</v>
      </c>
      <c r="AA68" s="288">
        <f>IF($C68="","",VLOOKUP($C68,CTPit!$E$10:$BG$172,AA$49,FALSE))</f>
        <v>2</v>
      </c>
      <c r="AB68" s="80">
        <f>IF($C68="","",VLOOKUP($C68,CTPit!$E$10:$BG$172,AB$49,FALSE))</f>
        <v>0.41</v>
      </c>
      <c r="AC68" s="67">
        <f>IF($C68="","",VLOOKUP($C68,CTPit!$E$10:$BG$172,AC$49,FALSE))</f>
        <v>5.583333333333333</v>
      </c>
      <c r="AD68" s="288">
        <f>IF($C68="","",VLOOKUP($C68,CTPit!$E$10:$BG$172,AD$49,FALSE))</f>
        <v>10</v>
      </c>
      <c r="AE68" s="288">
        <f>IF($C68="","",VLOOKUP($C68,CTPit!$E$10:$BG$172,AE$49,FALSE))</f>
        <v>4</v>
      </c>
      <c r="AF68" s="289">
        <f>IF($C68="","",VLOOKUP($C68,CTPit!$E$10:$BG$172,AF$49,FALSE))</f>
        <v>5</v>
      </c>
      <c r="AG68" s="67">
        <f>IF($C68="","",VLOOKUP($C68,CTPit!$E$10:$BG$172,AG$49,FALSE))</f>
        <v>6.583333333333333</v>
      </c>
    </row>
    <row r="69" spans="1:33">
      <c r="A69">
        <v>7</v>
      </c>
      <c r="B69" s="36" t="s">
        <v>19</v>
      </c>
      <c r="C69" s="65"/>
      <c r="D69" s="37" t="str">
        <f>IF($C69="","",VLOOKUP($C69,CTPit!$E$10:$BG$214,D$4,FALSE))</f>
        <v/>
      </c>
      <c r="E69" s="37" t="str">
        <f>IF($C69="","",VLOOKUP($C69,CTPit!$E$10:$BG$214,E$4+1,FALSE))</f>
        <v/>
      </c>
      <c r="F69" s="53" t="str">
        <f t="shared" si="81"/>
        <v/>
      </c>
      <c r="G69" s="288" t="str">
        <f t="shared" si="82"/>
        <v/>
      </c>
      <c r="H69" s="289" t="str">
        <f t="shared" si="83"/>
        <v/>
      </c>
      <c r="I69" s="100" t="str">
        <f>IF($C69="","",VLOOKUP($C69,CTPit!$E$10:$BG$172,I$49,FALSE))</f>
        <v/>
      </c>
      <c r="J69" s="288" t="str">
        <f t="shared" si="84"/>
        <v/>
      </c>
      <c r="K69" s="53" t="str">
        <f>IF($C69="","",VLOOKUP($C69,CTPit!$E$10:$BG$172,K$49,FALSE))</f>
        <v/>
      </c>
      <c r="L69" s="288" t="str">
        <f>IF($C69="","",VLOOKUP($C69,CTPit!$E$10:$BG$172,L$49,FALSE))</f>
        <v/>
      </c>
      <c r="M69" s="289" t="str">
        <f>IF($C69="","",VLOOKUP($C69,CTPit!$E$10:$BG$172,M$49,FALSE))</f>
        <v/>
      </c>
      <c r="N69" s="288" t="str">
        <f>IF($C69="","",VLOOKUP($C69,CTPit!$E$10:$BG$172,N$49,FALSE))</f>
        <v/>
      </c>
      <c r="O69" s="288" t="str">
        <f>IF($C69="","",VLOOKUP($C69,CTPit!$E$10:$BG$172,O$49,FALSE))</f>
        <v/>
      </c>
      <c r="P69" s="288" t="str">
        <f>IF($C69="","",VLOOKUP($C69,CTPit!$E$10:$BG$172,P$49,FALSE))</f>
        <v/>
      </c>
      <c r="Q69" s="288" t="str">
        <f>IF($C69="","",VLOOKUP($C69,CTPit!$E$10:$BG$172,Q$49,FALSE))</f>
        <v/>
      </c>
      <c r="R69" s="288" t="str">
        <f>IF($C69="","",VLOOKUP($C69,CTPit!$E$10:$BG$172,R$49,FALSE))</f>
        <v/>
      </c>
      <c r="S69" s="288" t="str">
        <f>IF($C69="","",VLOOKUP($C69,CTPit!$E$10:$BG$172,S$49,FALSE))</f>
        <v/>
      </c>
      <c r="T69" s="288" t="str">
        <f>IF($C69="","",VLOOKUP($C69,CTPit!$E$10:$BG$172,T$49,FALSE))</f>
        <v/>
      </c>
      <c r="U69" s="288" t="str">
        <f>IF($C69="","",VLOOKUP($C69,CTPit!$E$10:$BG$172,U$49,FALSE))</f>
        <v/>
      </c>
      <c r="V69" s="288" t="str">
        <f>IF($C69="","",VLOOKUP($C69,CTPit!$E$10:$BG$172,V$49,FALSE))</f>
        <v/>
      </c>
      <c r="W69" s="288" t="str">
        <f>IF($C69="","",VLOOKUP($C69,CTPit!$E$10:$BG$172,W$49,FALSE))</f>
        <v/>
      </c>
      <c r="X69" s="288" t="str">
        <f>IF($C69="","",VLOOKUP($C69,CTPit!$E$10:$BG$172,X$49,FALSE))</f>
        <v/>
      </c>
      <c r="Y69" s="289" t="str">
        <f>IF($C69="","",VLOOKUP($C69,CTPit!$E$10:$BG$172,Y$49,FALSE))</f>
        <v/>
      </c>
      <c r="Z69" s="53" t="str">
        <f>IF($C69="","",VLOOKUP($C69,CTPit!$E$10:$BG$172,Z$49,FALSE))</f>
        <v/>
      </c>
      <c r="AA69" s="288" t="str">
        <f>IF($C69="","",VLOOKUP($C69,CTPit!$E$10:$BG$172,AA$49,FALSE))</f>
        <v/>
      </c>
      <c r="AB69" s="80" t="str">
        <f>IF($C69="","",VLOOKUP($C69,CTPit!$E$10:$BG$172,AB$49,FALSE))</f>
        <v/>
      </c>
      <c r="AC69" s="67" t="str">
        <f>IF($C69="","",VLOOKUP($C69,CTPit!$E$10:$BG$172,AC$49,FALSE))</f>
        <v/>
      </c>
      <c r="AD69" s="288" t="str">
        <f>IF($C69="","",VLOOKUP($C69,CTPit!$E$10:$BG$172,AD$49,FALSE))</f>
        <v/>
      </c>
      <c r="AE69" s="288" t="str">
        <f>IF($C69="","",VLOOKUP($C69,CTPit!$E$10:$BG$172,AE$49,FALSE))</f>
        <v/>
      </c>
      <c r="AF69" s="289" t="str">
        <f>IF($C69="","",VLOOKUP($C69,CTPit!$E$10:$BG$172,AF$49,FALSE))</f>
        <v/>
      </c>
      <c r="AG69" s="67" t="str">
        <f>IF($C69="","",VLOOKUP($C69,CTPit!$E$10:$BG$172,AG$49,FALSE))</f>
        <v/>
      </c>
    </row>
    <row r="70" spans="1:33">
      <c r="A70">
        <v>8</v>
      </c>
      <c r="B70" s="36" t="s">
        <v>19</v>
      </c>
      <c r="C70" s="65"/>
      <c r="D70" s="37" t="str">
        <f>IF($C70="","",VLOOKUP($C70,CTPit!$E$10:$BG$214,D$4,FALSE))</f>
        <v/>
      </c>
      <c r="E70" s="37" t="str">
        <f>IF($C70="","",VLOOKUP($C70,CTPit!$E$10:$BG$214,E$4+1,FALSE))</f>
        <v/>
      </c>
      <c r="F70" s="53" t="str">
        <f t="shared" si="81"/>
        <v/>
      </c>
      <c r="G70" s="288" t="str">
        <f t="shared" si="82"/>
        <v/>
      </c>
      <c r="H70" s="289" t="str">
        <f t="shared" si="83"/>
        <v/>
      </c>
      <c r="I70" s="100" t="str">
        <f>IF($C70="","",VLOOKUP($C70,CTPit!$E$10:$BG$172,I$49,FALSE))</f>
        <v/>
      </c>
      <c r="J70" s="288" t="str">
        <f t="shared" si="84"/>
        <v/>
      </c>
      <c r="K70" s="53" t="str">
        <f>IF($C70="","",VLOOKUP($C70,CTPit!$E$10:$BG$172,K$49,FALSE))</f>
        <v/>
      </c>
      <c r="L70" s="288" t="str">
        <f>IF($C70="","",VLOOKUP($C70,CTPit!$E$10:$BG$172,L$49,FALSE))</f>
        <v/>
      </c>
      <c r="M70" s="289" t="str">
        <f>IF($C70="","",VLOOKUP($C70,CTPit!$E$10:$BG$172,M$49,FALSE))</f>
        <v/>
      </c>
      <c r="N70" s="288" t="str">
        <f>IF($C70="","",VLOOKUP($C70,CTPit!$E$10:$BG$172,N$49,FALSE))</f>
        <v/>
      </c>
      <c r="O70" s="288" t="str">
        <f>IF($C70="","",VLOOKUP($C70,CTPit!$E$10:$BG$172,O$49,FALSE))</f>
        <v/>
      </c>
      <c r="P70" s="288" t="str">
        <f>IF($C70="","",VLOOKUP($C70,CTPit!$E$10:$BG$172,P$49,FALSE))</f>
        <v/>
      </c>
      <c r="Q70" s="288" t="str">
        <f>IF($C70="","",VLOOKUP($C70,CTPit!$E$10:$BG$172,Q$49,FALSE))</f>
        <v/>
      </c>
      <c r="R70" s="288" t="str">
        <f>IF($C70="","",VLOOKUP($C70,CTPit!$E$10:$BG$172,R$49,FALSE))</f>
        <v/>
      </c>
      <c r="S70" s="288" t="str">
        <f>IF($C70="","",VLOOKUP($C70,CTPit!$E$10:$BG$172,S$49,FALSE))</f>
        <v/>
      </c>
      <c r="T70" s="288" t="str">
        <f>IF($C70="","",VLOOKUP($C70,CTPit!$E$10:$BG$172,T$49,FALSE))</f>
        <v/>
      </c>
      <c r="U70" s="288" t="str">
        <f>IF($C70="","",VLOOKUP($C70,CTPit!$E$10:$BG$172,U$49,FALSE))</f>
        <v/>
      </c>
      <c r="V70" s="288" t="str">
        <f>IF($C70="","",VLOOKUP($C70,CTPit!$E$10:$BG$172,V$49,FALSE))</f>
        <v/>
      </c>
      <c r="W70" s="288" t="str">
        <f>IF($C70="","",VLOOKUP($C70,CTPit!$E$10:$BG$172,W$49,FALSE))</f>
        <v/>
      </c>
      <c r="X70" s="288" t="str">
        <f>IF($C70="","",VLOOKUP($C70,CTPit!$E$10:$BG$172,X$49,FALSE))</f>
        <v/>
      </c>
      <c r="Y70" s="289" t="str">
        <f>IF($C70="","",VLOOKUP($C70,CTPit!$E$10:$BG$172,Y$49,FALSE))</f>
        <v/>
      </c>
      <c r="Z70" s="53" t="str">
        <f>IF($C70="","",VLOOKUP($C70,CTPit!$E$10:$BG$172,Z$49,FALSE))</f>
        <v/>
      </c>
      <c r="AA70" s="288" t="str">
        <f>IF($C70="","",VLOOKUP($C70,CTPit!$E$10:$BG$172,AA$49,FALSE))</f>
        <v/>
      </c>
      <c r="AB70" s="80" t="str">
        <f>IF($C70="","",VLOOKUP($C70,CTPit!$E$10:$BG$172,AB$49,FALSE))</f>
        <v/>
      </c>
      <c r="AC70" s="67" t="str">
        <f>IF($C70="","",VLOOKUP($C70,CTPit!$E$10:$BG$172,AC$49,FALSE))</f>
        <v/>
      </c>
      <c r="AD70" s="288" t="str">
        <f>IF($C70="","",VLOOKUP($C70,CTPit!$E$10:$BG$172,AD$49,FALSE))</f>
        <v/>
      </c>
      <c r="AE70" s="288" t="str">
        <f>IF($C70="","",VLOOKUP($C70,CTPit!$E$10:$BG$172,AE$49,FALSE))</f>
        <v/>
      </c>
      <c r="AF70" s="289" t="str">
        <f>IF($C70="","",VLOOKUP($C70,CTPit!$E$10:$BG$172,AF$49,FALSE))</f>
        <v/>
      </c>
      <c r="AG70" s="67" t="str">
        <f>IF($C70="","",VLOOKUP($C70,CTPit!$E$10:$BG$172,AG$49,FALSE))</f>
        <v/>
      </c>
    </row>
    <row r="71" spans="1:33">
      <c r="A71">
        <v>9</v>
      </c>
      <c r="B71" s="36" t="s">
        <v>19</v>
      </c>
      <c r="C71" s="65"/>
      <c r="D71" s="37" t="str">
        <f>IF($C71="","",VLOOKUP($C71,CTPit!$E$10:$BG$214,D$4,FALSE))</f>
        <v/>
      </c>
      <c r="E71" s="37" t="str">
        <f>IF($C71="","",VLOOKUP($C71,CTPit!$E$10:$BG$214,E$4+1,FALSE))</f>
        <v/>
      </c>
      <c r="F71" s="53" t="str">
        <f t="shared" si="81"/>
        <v/>
      </c>
      <c r="G71" s="288" t="str">
        <f t="shared" si="82"/>
        <v/>
      </c>
      <c r="H71" s="289" t="str">
        <f t="shared" si="83"/>
        <v/>
      </c>
      <c r="I71" s="100" t="str">
        <f>IF($C71="","",VLOOKUP($C71,CTPit!$E$10:$BG$172,I$49,FALSE))</f>
        <v/>
      </c>
      <c r="J71" s="288" t="str">
        <f t="shared" si="84"/>
        <v/>
      </c>
      <c r="K71" s="53" t="str">
        <f>IF($C71="","",VLOOKUP($C71,CTPit!$E$10:$BG$172,K$49,FALSE))</f>
        <v/>
      </c>
      <c r="L71" s="288" t="str">
        <f>IF($C71="","",VLOOKUP($C71,CTPit!$E$10:$BG$172,L$49,FALSE))</f>
        <v/>
      </c>
      <c r="M71" s="289" t="str">
        <f>IF($C71="","",VLOOKUP($C71,CTPit!$E$10:$BG$172,M$49,FALSE))</f>
        <v/>
      </c>
      <c r="N71" s="288" t="str">
        <f>IF($C71="","",VLOOKUP($C71,CTPit!$E$10:$BG$172,N$49,FALSE))</f>
        <v/>
      </c>
      <c r="O71" s="288" t="str">
        <f>IF($C71="","",VLOOKUP($C71,CTPit!$E$10:$BG$172,O$49,FALSE))</f>
        <v/>
      </c>
      <c r="P71" s="288" t="str">
        <f>IF($C71="","",VLOOKUP($C71,CTPit!$E$10:$BG$172,P$49,FALSE))</f>
        <v/>
      </c>
      <c r="Q71" s="288" t="str">
        <f>IF($C71="","",VLOOKUP($C71,CTPit!$E$10:$BG$172,Q$49,FALSE))</f>
        <v/>
      </c>
      <c r="R71" s="288" t="str">
        <f>IF($C71="","",VLOOKUP($C71,CTPit!$E$10:$BG$172,R$49,FALSE))</f>
        <v/>
      </c>
      <c r="S71" s="288" t="str">
        <f>IF($C71="","",VLOOKUP($C71,CTPit!$E$10:$BG$172,S$49,FALSE))</f>
        <v/>
      </c>
      <c r="T71" s="288" t="str">
        <f>IF($C71="","",VLOOKUP($C71,CTPit!$E$10:$BG$172,T$49,FALSE))</f>
        <v/>
      </c>
      <c r="U71" s="288" t="str">
        <f>IF($C71="","",VLOOKUP($C71,CTPit!$E$10:$BG$172,U$49,FALSE))</f>
        <v/>
      </c>
      <c r="V71" s="288" t="str">
        <f>IF($C71="","",VLOOKUP($C71,CTPit!$E$10:$BG$172,V$49,FALSE))</f>
        <v/>
      </c>
      <c r="W71" s="288" t="str">
        <f>IF($C71="","",VLOOKUP($C71,CTPit!$E$10:$BG$172,W$49,FALSE))</f>
        <v/>
      </c>
      <c r="X71" s="288" t="str">
        <f>IF($C71="","",VLOOKUP($C71,CTPit!$E$10:$BG$172,X$49,FALSE))</f>
        <v/>
      </c>
      <c r="Y71" s="289" t="str">
        <f>IF($C71="","",VLOOKUP($C71,CTPit!$E$10:$BG$172,Y$49,FALSE))</f>
        <v/>
      </c>
      <c r="Z71" s="53" t="str">
        <f>IF($C71="","",VLOOKUP($C71,CTPit!$E$10:$BG$172,Z$49,FALSE))</f>
        <v/>
      </c>
      <c r="AA71" s="288" t="str">
        <f>IF($C71="","",VLOOKUP($C71,CTPit!$E$10:$BG$172,AA$49,FALSE))</f>
        <v/>
      </c>
      <c r="AB71" s="80" t="str">
        <f>IF($C71="","",VLOOKUP($C71,CTPit!$E$10:$BG$172,AB$49,FALSE))</f>
        <v/>
      </c>
      <c r="AC71" s="67" t="str">
        <f>IF($C71="","",VLOOKUP($C71,CTPit!$E$10:$BG$172,AC$49,FALSE))</f>
        <v/>
      </c>
      <c r="AD71" s="288" t="str">
        <f>IF($C71="","",VLOOKUP($C71,CTPit!$E$10:$BG$172,AD$49,FALSE))</f>
        <v/>
      </c>
      <c r="AE71" s="288" t="str">
        <f>IF($C71="","",VLOOKUP($C71,CTPit!$E$10:$BG$172,AE$49,FALSE))</f>
        <v/>
      </c>
      <c r="AF71" s="289" t="str">
        <f>IF($C71="","",VLOOKUP($C71,CTPit!$E$10:$BG$172,AF$49,FALSE))</f>
        <v/>
      </c>
      <c r="AG71" s="67" t="str">
        <f>IF($C71="","",VLOOKUP($C71,CTPit!$E$10:$BG$172,AG$49,FALSE))</f>
        <v/>
      </c>
    </row>
    <row r="72" spans="1:33">
      <c r="A72">
        <v>10</v>
      </c>
      <c r="B72" s="39" t="s">
        <v>19</v>
      </c>
      <c r="C72" s="40"/>
      <c r="D72" s="40" t="str">
        <f>IF($C72="","",VLOOKUP($C72,CTPit!$E$10:$BG$214,D$4,FALSE))</f>
        <v/>
      </c>
      <c r="E72" s="40" t="str">
        <f>IF($C72="","",VLOOKUP($C72,CTPit!$E$10:$BG$214,E$4+1,FALSE))</f>
        <v/>
      </c>
      <c r="F72" s="54" t="str">
        <f t="shared" si="81"/>
        <v/>
      </c>
      <c r="G72" s="286" t="str">
        <f t="shared" si="82"/>
        <v/>
      </c>
      <c r="H72" s="287" t="str">
        <f t="shared" si="83"/>
        <v/>
      </c>
      <c r="I72" s="101" t="str">
        <f>IF($C72="","",VLOOKUP($C72,CTPit!$E$10:$BG$172,I$49,FALSE))</f>
        <v/>
      </c>
      <c r="J72" s="286" t="str">
        <f t="shared" si="84"/>
        <v/>
      </c>
      <c r="K72" s="54" t="str">
        <f>IF($C72="","",VLOOKUP($C72,CTPit!$E$10:$BG$172,K$49,FALSE))</f>
        <v/>
      </c>
      <c r="L72" s="286" t="str">
        <f>IF($C72="","",VLOOKUP($C72,CTPit!$E$10:$BG$172,L$49,FALSE))</f>
        <v/>
      </c>
      <c r="M72" s="287" t="str">
        <f>IF($C72="","",VLOOKUP($C72,CTPit!$E$10:$BG$172,M$49,FALSE))</f>
        <v/>
      </c>
      <c r="N72" s="286" t="str">
        <f>IF($C72="","",VLOOKUP($C72,CTPit!$E$10:$BG$172,N$49,FALSE))</f>
        <v/>
      </c>
      <c r="O72" s="286" t="str">
        <f>IF($C72="","",VLOOKUP($C72,CTPit!$E$10:$BG$172,O$49,FALSE))</f>
        <v/>
      </c>
      <c r="P72" s="286" t="str">
        <f>IF($C72="","",VLOOKUP($C72,CTPit!$E$10:$BG$172,P$49,FALSE))</f>
        <v/>
      </c>
      <c r="Q72" s="286" t="str">
        <f>IF($C72="","",VLOOKUP($C72,CTPit!$E$10:$BG$172,Q$49,FALSE))</f>
        <v/>
      </c>
      <c r="R72" s="286" t="str">
        <f>IF($C72="","",VLOOKUP($C72,CTPit!$E$10:$BG$172,R$49,FALSE))</f>
        <v/>
      </c>
      <c r="S72" s="286" t="str">
        <f>IF($C72="","",VLOOKUP($C72,CTPit!$E$10:$BG$172,S$49,FALSE))</f>
        <v/>
      </c>
      <c r="T72" s="286" t="str">
        <f>IF($C72="","",VLOOKUP($C72,CTPit!$E$10:$BG$172,T$49,FALSE))</f>
        <v/>
      </c>
      <c r="U72" s="286" t="str">
        <f>IF($C72="","",VLOOKUP($C72,CTPit!$E$10:$BG$172,U$49,FALSE))</f>
        <v/>
      </c>
      <c r="V72" s="286" t="str">
        <f>IF($C72="","",VLOOKUP($C72,CTPit!$E$10:$BG$172,V$49,FALSE))</f>
        <v/>
      </c>
      <c r="W72" s="286" t="str">
        <f>IF($C72="","",VLOOKUP($C72,CTPit!$E$10:$BG$172,W$49,FALSE))</f>
        <v/>
      </c>
      <c r="X72" s="286" t="str">
        <f>IF($C72="","",VLOOKUP($C72,CTPit!$E$10:$BG$172,X$49,FALSE))</f>
        <v/>
      </c>
      <c r="Y72" s="287" t="str">
        <f>IF($C72="","",VLOOKUP($C72,CTPit!$E$10:$BG$172,Y$49,FALSE))</f>
        <v/>
      </c>
      <c r="Z72" s="54" t="str">
        <f>IF($C72="","",VLOOKUP($C72,CTPit!$E$10:$BG$172,Z$49,FALSE))</f>
        <v/>
      </c>
      <c r="AA72" s="286" t="str">
        <f>IF($C72="","",VLOOKUP($C72,CTPit!$E$10:$BG$172,AA$49,FALSE))</f>
        <v/>
      </c>
      <c r="AB72" s="81" t="str">
        <f>IF($C72="","",VLOOKUP($C72,CTPit!$E$10:$BG$172,AB$49,FALSE))</f>
        <v/>
      </c>
      <c r="AC72" s="68" t="str">
        <f>IF($C72="","",VLOOKUP($C72,CTPit!$E$10:$BG$172,AC$49,FALSE))</f>
        <v/>
      </c>
      <c r="AD72" s="286" t="str">
        <f>IF($C72="","",VLOOKUP($C72,CTPit!$E$10:$BG$172,AD$49,FALSE))</f>
        <v/>
      </c>
      <c r="AE72" s="286" t="str">
        <f>IF($C72="","",VLOOKUP($C72,CTPit!$E$10:$BG$172,AE$49,FALSE))</f>
        <v/>
      </c>
      <c r="AF72" s="287" t="str">
        <f>IF($C72="","",VLOOKUP($C72,CTPit!$E$10:$BG$172,AF$49,FALSE))</f>
        <v/>
      </c>
      <c r="AG72" s="68" t="str">
        <f>IF($C72="","",VLOOKUP($C72,CTPit!$E$10:$BG$172,AG$49,FALSE))</f>
        <v/>
      </c>
    </row>
  </sheetData>
  <mergeCells count="6">
    <mergeCell ref="AG35:AT35"/>
    <mergeCell ref="AH36:AT36"/>
    <mergeCell ref="AH37:AT37"/>
    <mergeCell ref="AH38:AT38"/>
    <mergeCell ref="AH39:AT39"/>
    <mergeCell ref="AH40:AT40"/>
  </mergeCells>
  <conditionalFormatting sqref="G19">
    <cfRule type="expression" dxfId="61" priority="21">
      <formula>IF(SUM(G20:G27)&gt;1,1,0)</formula>
    </cfRule>
  </conditionalFormatting>
  <conditionalFormatting sqref="H19">
    <cfRule type="expression" dxfId="60" priority="20">
      <formula>IF(SUM(H20:H27)&gt;1,1,0)</formula>
    </cfRule>
  </conditionalFormatting>
  <conditionalFormatting sqref="F19">
    <cfRule type="expression" dxfId="59" priority="19">
      <formula>IF(SUM(F20:F27)&gt;1,1,0)</formula>
    </cfRule>
  </conditionalFormatting>
  <conditionalFormatting sqref="I5">
    <cfRule type="expression" dxfId="58" priority="18">
      <formula>-IF(SUM(I6:I17)&gt;1,1,0)</formula>
    </cfRule>
  </conditionalFormatting>
  <conditionalFormatting sqref="H5">
    <cfRule type="expression" dxfId="57" priority="17">
      <formula>-IF(SUM(H6:H17)&gt;1,1,0)</formula>
    </cfRule>
  </conditionalFormatting>
  <conditionalFormatting sqref="F29">
    <cfRule type="expression" dxfId="56" priority="16">
      <formula>IF(SUM($F$30:$F$33)&gt;1,1,0)</formula>
    </cfRule>
  </conditionalFormatting>
  <conditionalFormatting sqref="F50">
    <cfRule type="expression" dxfId="55" priority="15">
      <formula>IF(SUM($F$51:$F$56)&gt;1,1,0)</formula>
    </cfRule>
  </conditionalFormatting>
  <conditionalFormatting sqref="H50">
    <cfRule type="expression" dxfId="54" priority="14">
      <formula>IF(SUM($H$51:$H$56)&gt;3,1,0)</formula>
    </cfRule>
  </conditionalFormatting>
  <conditionalFormatting sqref="G50">
    <cfRule type="expression" dxfId="53" priority="13">
      <formula>IF(SUM($G$51:$G$56)&gt;2,1,0)</formula>
    </cfRule>
  </conditionalFormatting>
  <conditionalFormatting sqref="C30:C33 C20:C27 C6:C17">
    <cfRule type="expression" dxfId="52" priority="11">
      <formula>IF($AZ6&lt;4.5,1,0)</formula>
    </cfRule>
    <cfRule type="expression" dxfId="51" priority="12">
      <formula>IF($AZ6&gt;7,1,0)</formula>
    </cfRule>
  </conditionalFormatting>
  <conditionalFormatting sqref="C21">
    <cfRule type="expression" dxfId="50" priority="9">
      <formula>IF($AK21&lt;4.5,1,0)</formula>
    </cfRule>
    <cfRule type="expression" dxfId="49" priority="10">
      <formula>IF($AK21&gt;7,1,0)</formula>
    </cfRule>
  </conditionalFormatting>
  <conditionalFormatting sqref="F5">
    <cfRule type="expression" dxfId="48" priority="8">
      <formula>IF(SUM(F6:F17)&gt;1,1,0)</formula>
    </cfRule>
  </conditionalFormatting>
  <conditionalFormatting sqref="G5">
    <cfRule type="expression" dxfId="47" priority="7">
      <formula>IF(SUM(G6:G17)&gt;1,1,0)</formula>
    </cfRule>
  </conditionalFormatting>
  <conditionalFormatting sqref="C51:C56 C59:C60 C63:C72">
    <cfRule type="expression" dxfId="46" priority="3">
      <formula>IF($AC51&lt;$D$2,1,0)</formula>
    </cfRule>
    <cfRule type="expression" dxfId="45" priority="4">
      <formula>IF($AC51&gt;$C$3,1,0)</formula>
    </cfRule>
    <cfRule type="expression" dxfId="44" priority="5">
      <formula>IF($AG51&lt;5.75,1,0)</formula>
    </cfRule>
    <cfRule type="expression" dxfId="43" priority="6">
      <formula>IF($AG51&gt;6,1,0)</formula>
    </cfRule>
  </conditionalFormatting>
  <conditionalFormatting sqref="C6:C17 C20:C27 C30:C33">
    <cfRule type="expression" dxfId="42" priority="1">
      <formula>IF($AK6&lt;$D$2,1,0)</formula>
    </cfRule>
    <cfRule type="expression" dxfId="41" priority="2">
      <formula>IF($AK6&gt;$C$2,1,0)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published="0">
    <tabColor theme="3" tint="0.39997558519241921"/>
  </sheetPr>
  <dimension ref="A1:AZ72"/>
  <sheetViews>
    <sheetView topLeftCell="A11" zoomScale="85" zoomScaleNormal="85" workbookViewId="0">
      <selection activeCell="C24" sqref="C24"/>
    </sheetView>
  </sheetViews>
  <sheetFormatPr defaultRowHeight="15"/>
  <cols>
    <col min="1" max="1" width="3.140625" customWidth="1"/>
    <col min="2" max="2" width="10.7109375" style="1" bestFit="1" customWidth="1"/>
    <col min="3" max="3" width="20" style="26" bestFit="1" customWidth="1"/>
    <col min="4" max="4" width="4.5703125" style="26" customWidth="1"/>
    <col min="5" max="5" width="4.42578125" style="26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1.42578125" bestFit="1" customWidth="1"/>
    <col min="27" max="27" width="4.28515625" bestFit="1" customWidth="1"/>
    <col min="28" max="29" width="4.7109375" bestFit="1" customWidth="1"/>
    <col min="30" max="32" width="4.28515625" bestFit="1" customWidth="1"/>
    <col min="33" max="33" width="6.28515625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>
      <c r="C1" s="321" t="s">
        <v>648</v>
      </c>
      <c r="D1" s="321" t="s">
        <v>649</v>
      </c>
    </row>
    <row r="2" spans="1:52">
      <c r="B2" s="321" t="s">
        <v>650</v>
      </c>
      <c r="C2" s="322">
        <v>4.5</v>
      </c>
      <c r="D2" s="322">
        <v>4</v>
      </c>
    </row>
    <row r="3" spans="1:52">
      <c r="B3" s="321" t="s">
        <v>651</v>
      </c>
      <c r="C3" s="322">
        <v>5</v>
      </c>
      <c r="D3" s="322">
        <v>4</v>
      </c>
    </row>
    <row r="4" spans="1:52">
      <c r="D4" s="26">
        <v>4</v>
      </c>
      <c r="E4" s="26">
        <v>5</v>
      </c>
      <c r="J4">
        <v>23</v>
      </c>
      <c r="K4">
        <v>21</v>
      </c>
      <c r="L4">
        <v>22</v>
      </c>
      <c r="M4">
        <v>24</v>
      </c>
      <c r="N4">
        <v>25</v>
      </c>
      <c r="O4">
        <v>26</v>
      </c>
      <c r="P4">
        <v>27</v>
      </c>
      <c r="Q4">
        <v>28</v>
      </c>
      <c r="R4">
        <v>29</v>
      </c>
      <c r="S4">
        <v>30</v>
      </c>
      <c r="T4">
        <v>31</v>
      </c>
      <c r="AD4">
        <v>11</v>
      </c>
      <c r="AE4">
        <v>12</v>
      </c>
      <c r="AF4">
        <v>13</v>
      </c>
      <c r="AG4">
        <v>14</v>
      </c>
      <c r="AH4">
        <v>15</v>
      </c>
      <c r="AI4">
        <v>32</v>
      </c>
      <c r="AJ4">
        <v>33</v>
      </c>
      <c r="AU4">
        <v>16</v>
      </c>
      <c r="AV4">
        <v>17</v>
      </c>
      <c r="AW4">
        <v>18</v>
      </c>
      <c r="AX4">
        <v>19</v>
      </c>
      <c r="AY4">
        <v>20</v>
      </c>
    </row>
    <row r="5" spans="1:52" s="24" customFormat="1" ht="216.75">
      <c r="A5" s="25" t="s">
        <v>196</v>
      </c>
      <c r="B5" s="283" t="s">
        <v>127</v>
      </c>
      <c r="C5" s="44" t="str">
        <f>"Player ("&amp;COUNTA(C6:C17)&amp;")"</f>
        <v>Player (7)</v>
      </c>
      <c r="D5" s="44" t="s">
        <v>94</v>
      </c>
      <c r="E5" s="44" t="s">
        <v>104</v>
      </c>
      <c r="F5" s="51" t="str">
        <f>"Only 1 guy who plays only 1B ("&amp;SUM(F6:F17)&amp;")"</f>
        <v>Only 1 guy who plays only 1B (2)</v>
      </c>
      <c r="G5" s="45" t="str">
        <f>"Only 1 guy who can only play 1B or LF ("&amp;SUM(G6:G17)&amp;")"</f>
        <v>Only 1 guy who can only play 1B or LF (2)</v>
      </c>
      <c r="H5" s="46" t="str">
        <f>"2 guys with RF arms ("&amp;SUM(H6:H17)&amp;")"</f>
        <v>2 guys with RF arms (4)</v>
      </c>
      <c r="I5" s="46" t="str">
        <f>"2 guys with CF range ("&amp;SUM(I6:I17)&amp;")"</f>
        <v>2 guys with CF range (3)</v>
      </c>
      <c r="J5" s="55" t="s">
        <v>139</v>
      </c>
      <c r="K5" s="47" t="s">
        <v>137</v>
      </c>
      <c r="L5" s="56" t="s">
        <v>138</v>
      </c>
      <c r="M5" s="48" t="s">
        <v>95</v>
      </c>
      <c r="N5" s="48" t="s">
        <v>97</v>
      </c>
      <c r="O5" s="48" t="s">
        <v>98</v>
      </c>
      <c r="P5" s="48" t="s">
        <v>99</v>
      </c>
      <c r="Q5" s="48" t="s">
        <v>100</v>
      </c>
      <c r="R5" s="48" t="s">
        <v>101</v>
      </c>
      <c r="S5" s="48" t="s">
        <v>102</v>
      </c>
      <c r="T5" s="49" t="s">
        <v>103</v>
      </c>
      <c r="U5" s="51" t="s">
        <v>140</v>
      </c>
      <c r="V5" s="45" t="s">
        <v>184</v>
      </c>
      <c r="W5" s="45" t="s">
        <v>141</v>
      </c>
      <c r="X5" s="45" t="s">
        <v>157</v>
      </c>
      <c r="Y5" s="45" t="s">
        <v>156</v>
      </c>
      <c r="Z5" s="45" t="s">
        <v>144</v>
      </c>
      <c r="AA5" s="45" t="s">
        <v>145</v>
      </c>
      <c r="AB5" s="45" t="s">
        <v>162</v>
      </c>
      <c r="AC5" s="60" t="s">
        <v>146</v>
      </c>
      <c r="AD5" s="48" t="s">
        <v>150</v>
      </c>
      <c r="AE5" s="48" t="s">
        <v>151</v>
      </c>
      <c r="AF5" s="48" t="s">
        <v>152</v>
      </c>
      <c r="AG5" s="48" t="s">
        <v>153</v>
      </c>
      <c r="AH5" s="48" t="s">
        <v>29</v>
      </c>
      <c r="AI5" s="63" t="s">
        <v>154</v>
      </c>
      <c r="AJ5" s="49" t="s">
        <v>155</v>
      </c>
      <c r="AK5" s="66" t="s">
        <v>160</v>
      </c>
      <c r="AL5" s="51" t="s">
        <v>140</v>
      </c>
      <c r="AM5" s="45" t="s">
        <v>184</v>
      </c>
      <c r="AN5" s="45" t="s">
        <v>141</v>
      </c>
      <c r="AO5" s="45" t="s">
        <v>157</v>
      </c>
      <c r="AP5" s="45" t="s">
        <v>156</v>
      </c>
      <c r="AQ5" s="45" t="s">
        <v>144</v>
      </c>
      <c r="AR5" s="45" t="s">
        <v>145</v>
      </c>
      <c r="AS5" s="45" t="s">
        <v>162</v>
      </c>
      <c r="AT5" s="60" t="s">
        <v>146</v>
      </c>
      <c r="AU5" s="63" t="s">
        <v>150</v>
      </c>
      <c r="AV5" s="48" t="s">
        <v>151</v>
      </c>
      <c r="AW5" s="48" t="s">
        <v>152</v>
      </c>
      <c r="AX5" s="48" t="s">
        <v>153</v>
      </c>
      <c r="AY5" s="49" t="s">
        <v>29</v>
      </c>
      <c r="AZ5" s="66" t="s">
        <v>201</v>
      </c>
    </row>
    <row r="6" spans="1:52">
      <c r="A6">
        <v>1</v>
      </c>
      <c r="B6" s="32" t="s">
        <v>97</v>
      </c>
      <c r="C6" s="37" t="s">
        <v>399</v>
      </c>
      <c r="D6" s="33">
        <f>IF($C6="","",VLOOKUP($C6,CTBat!$G$10:$BR$208,D$4,FALSE))</f>
        <v>21</v>
      </c>
      <c r="E6" s="33" t="str">
        <f>IF($C6="","",VLOOKUP($C6,CTBat!$G$10:$BR$208,E$4,FALSE))</f>
        <v>L</v>
      </c>
      <c r="F6" s="52">
        <f>IF($C6="","",IF(AND(N6&gt;0,N6=SUM(M6:T6)),1,0))</f>
        <v>1</v>
      </c>
      <c r="G6" s="34">
        <f>IF($C6="","",IF(AND(OR(N6&gt;0,R6&gt;0),SUM(N6,R6)=SUM(M6:T6)),1,0))</f>
        <v>1</v>
      </c>
      <c r="H6" s="34">
        <f>IF($C6="","",IF(L6&gt;6,1,0))</f>
        <v>0</v>
      </c>
      <c r="I6" s="34">
        <f t="shared" ref="I6:I10" si="0">IF($C6="","",IF(AND(S6&gt;4,S6&lt;&gt;"-"),1,0))</f>
        <v>0</v>
      </c>
      <c r="J6" s="57">
        <f>IF($C6="","",VLOOKUP($C6,CTBat!$G$10:$BR$208,J$4,FALSE))</f>
        <v>1</v>
      </c>
      <c r="K6" s="33">
        <f>IF($C6="","",VLOOKUP($C6,CTBat!$G$10:$BR$208,K$4,FALSE))</f>
        <v>2</v>
      </c>
      <c r="L6" s="35">
        <f>IF($C6="","",VLOOKUP($C6,CTBat!$G$10:$BR$208,L$4,FALSE))</f>
        <v>1</v>
      </c>
      <c r="M6" s="33" t="str">
        <f>IF($C6="","",VLOOKUP($C6,CTBat!$G$10:$BR$208,M$4,FALSE))</f>
        <v>-</v>
      </c>
      <c r="N6" s="33">
        <f>IF($C6="","",VLOOKUP($C6,CTBat!$G$10:$BR$208,N$4,FALSE))</f>
        <v>3</v>
      </c>
      <c r="O6" s="33" t="str">
        <f>IF($C6="","",VLOOKUP($C6,CTBat!$G$10:$BR$208,O$4,FALSE))</f>
        <v>-</v>
      </c>
      <c r="P6" s="33" t="str">
        <f>IF($C6="","",VLOOKUP($C6,CTBat!$G$10:$BR$208,P$4,FALSE))</f>
        <v>-</v>
      </c>
      <c r="Q6" s="33" t="str">
        <f>IF($C6="","",VLOOKUP($C6,CTBat!$G$10:$BR$208,Q$4,FALSE))</f>
        <v>-</v>
      </c>
      <c r="R6" s="33" t="str">
        <f>IF($C6="","",VLOOKUP($C6,CTBat!$G$10:$BR$208,R$4,FALSE))</f>
        <v>-</v>
      </c>
      <c r="S6" s="33" t="str">
        <f>IF($C6="","",VLOOKUP($C6,CTBat!$G$10:$BR$208,S$4,FALSE))</f>
        <v>-</v>
      </c>
      <c r="T6" s="35" t="str">
        <f>IF($C6="","",VLOOKUP($C6,CTBat!$G$10:$BR$208,T$4,FALSE))</f>
        <v>-</v>
      </c>
      <c r="U6" s="53">
        <f t="shared" ref="U6:U17" si="1">IF($C6="","",IF(OR(AD6+AG6&gt;14,AND(OR(AD6+AG6&gt;12,AND(AD6&gt;6,AG6&gt;6)),AI6&gt;6,OR(AJ6&gt;=AI6,AJ6&gt;6))),1,0))</f>
        <v>0</v>
      </c>
      <c r="V6" s="288">
        <f t="shared" ref="V6:V17" si="2">IF($C6="","",IF(OR(AND(AD6&gt;6,AH6&gt;6),AD6+AG6&gt;12),1,0))</f>
        <v>0</v>
      </c>
      <c r="W6" s="34">
        <f>IF($C6="","",IF(AND(AD6&gt;6,AF6&gt;6,AG6&gt;6),1,0))</f>
        <v>0</v>
      </c>
      <c r="X6" s="34">
        <f>IF($C6="","",IF(AND(AF6&gt;7,OR(AD6&gt;6,AG6&gt;6)),1,0))</f>
        <v>0</v>
      </c>
      <c r="Y6" s="34">
        <f>IF($C6="","",IF(AND(AF6&gt;6,OR(AD6&gt;6,AG6&gt;6)),1,0))</f>
        <v>0</v>
      </c>
      <c r="Z6" s="34">
        <f>IF($C6="","",IF(AND(OR(AD6&gt;6,AF6&gt;6),OR(AD6&gt;6,AG6&gt;6)),1,0))</f>
        <v>0</v>
      </c>
      <c r="AA6" s="34">
        <f>IF($C6="","",IF(AND(AD6&gt;4,OR(AD6&gt;6,AF6&gt;6,AG6&gt;6)),1,0))</f>
        <v>0</v>
      </c>
      <c r="AB6" s="34">
        <f>IF($C6="","",IF(AND(AD6&gt;4,OR(AD6&gt;6,AE6&gt;6,AF6&gt;6,AG6&gt;6)),1,0))</f>
        <v>0</v>
      </c>
      <c r="AC6" s="61">
        <f>IF($C6="","",IF(AND(AD6&gt;4,MAX(AD6:AH6)&gt;6),1,0))</f>
        <v>0</v>
      </c>
      <c r="AD6" s="33">
        <f>IF($C6="","",VLOOKUP($C6,CTBat!$G$10:$BR$208,AD$4,FALSE))</f>
        <v>6</v>
      </c>
      <c r="AE6" s="33">
        <f>IF($C6="","",VLOOKUP($C6,CTBat!$G$10:$BR$208,AE$4,FALSE))</f>
        <v>4</v>
      </c>
      <c r="AF6" s="33">
        <f>IF($C6="","",VLOOKUP($C6,CTBat!$G$10:$BR$208,AF$4,FALSE))</f>
        <v>3</v>
      </c>
      <c r="AG6" s="33">
        <f>IF($C6="","",VLOOKUP($C6,CTBat!$G$10:$BR$208,AG$4,FALSE))</f>
        <v>4</v>
      </c>
      <c r="AH6" s="33">
        <f>IF($C6="","",VLOOKUP($C6,CTBat!$G$10:$BR$208,AH$4,FALSE))</f>
        <v>3</v>
      </c>
      <c r="AI6" s="57">
        <f>IF($C6="","",VLOOKUP($C6,CTBat!$G$10:$BR$208,AI$4,FALSE))</f>
        <v>1</v>
      </c>
      <c r="AJ6" s="35">
        <f>IF($C6="","",VLOOKUP($C6,CTBat!$G$10:$BR$208,AJ$4,FALSE))</f>
        <v>2</v>
      </c>
      <c r="AK6" s="67">
        <f>IF($C6="","",(5*AD6+4*AF6+3*AG6+2*AE6+1*AH6+0.5*(AVERAGE(AD6:AE6))+0.5*AVERAGE(AD6,AH6)+1*(AVERAGE(AD6,AF6))+1*AVERAGE(AD6,AG6))/(5+4+3+2+1+0.5+0.5+1+1))</f>
        <v>4.4027777777777777</v>
      </c>
      <c r="AL6" s="52">
        <f>IF($C6="","",IF(AND(OR(AU6+AX6&gt;12,AND(AU6&gt;6,AX6&gt;6)),AI6&gt;6,OR(AJ6&gt;=AI6,AJ6&gt;6)),1,0))</f>
        <v>0</v>
      </c>
      <c r="AM6" s="34">
        <f>IF($C6="","",IF(OR(AND(AU6&gt;6,AY6&gt;6),AU6+AX6&gt;12),1,0))</f>
        <v>0</v>
      </c>
      <c r="AN6" s="34">
        <f>IF($C6="","",IF(AND(AU6&gt;6,AW6&gt;6,AX6&gt;6),1,0))</f>
        <v>0</v>
      </c>
      <c r="AO6" s="34">
        <f>IF($C6="","",IF(AND(AW6&gt;7,OR(AU6&gt;6,AX6&gt;6)),1,0))</f>
        <v>0</v>
      </c>
      <c r="AP6" s="34">
        <f>IF($C6="","",IF(AND(AW6&gt;6,OR(AU6&gt;6,AX6&gt;6)),1,0))</f>
        <v>0</v>
      </c>
      <c r="AQ6" s="34">
        <f>IF($C6="","",IF(AND(OR(AU6&gt;6,AW6&gt;6),OR(AU6&gt;6,AX6&gt;6)),1,0))</f>
        <v>1</v>
      </c>
      <c r="AR6" s="34">
        <f>IF($C6="","",IF(AND(AU6&gt;4,OR(AU6&gt;6,AW6&gt;6,AX6&gt;6)),1,0))</f>
        <v>1</v>
      </c>
      <c r="AS6" s="34">
        <f>IF($C6="","",IF(AND(AU6&gt;4,OR(AU6&gt;6,AV6&gt;6,AW6&gt;6,AX6&gt;6)),1,0))</f>
        <v>1</v>
      </c>
      <c r="AT6" s="61">
        <f>IF($C6="","",IF(AND(AU6&gt;4,MAX(AU6:AY6)&gt;6),1,0))</f>
        <v>1</v>
      </c>
      <c r="AU6" s="57">
        <f>IF($C6="","",VLOOKUP($C6,CTBat!$G$10:$BR$208,AU$4,FALSE))</f>
        <v>7</v>
      </c>
      <c r="AV6" s="33">
        <f>IF($C6="","",VLOOKUP($C6,CTBat!$G$10:$BR$208,AV$4,FALSE))</f>
        <v>5</v>
      </c>
      <c r="AW6" s="33">
        <f>IF($C6="","",VLOOKUP($C6,CTBat!$G$10:$BR$208,AW$4,FALSE))</f>
        <v>5</v>
      </c>
      <c r="AX6" s="33">
        <f>IF($C6="","",VLOOKUP($C6,CTBat!$G$10:$BR$208,AX$4,FALSE))</f>
        <v>5</v>
      </c>
      <c r="AY6" s="35">
        <f>IF($C6="","",VLOOKUP($C6,CTBat!$G$10:$BR$208,AY$4,FALSE))</f>
        <v>4</v>
      </c>
      <c r="AZ6" s="67">
        <f>IF($C6="","",(5*AU6+4*AW6+3*AX6+2*AV6+1*AY6+0.5*(AVERAGE(AU6:AV6))+0.5*AVERAGE(AU6,AY6)+1*(AVERAGE(AU6,AW6))+1*AVERAGE(AU6,AX6))/(5+4+3+2+1+0.5+0.5+1+1))</f>
        <v>5.6527777777777777</v>
      </c>
    </row>
    <row r="7" spans="1:52">
      <c r="A7">
        <v>2</v>
      </c>
      <c r="B7" s="36" t="s">
        <v>101</v>
      </c>
      <c r="C7" s="37" t="s">
        <v>499</v>
      </c>
      <c r="D7" s="37">
        <f>IF($C7="","",VLOOKUP($C7,CTBat!$G$10:$BR$208,D$4,FALSE))</f>
        <v>22</v>
      </c>
      <c r="E7" s="37" t="str">
        <f>IF($C7="","",VLOOKUP($C7,CTBat!$G$10:$BR$208,E$4,FALSE))</f>
        <v>R</v>
      </c>
      <c r="F7" s="53">
        <f t="shared" ref="F7:F17" si="3">IF($C7="","",IF(AND(N7&gt;0,N7=SUM(M7:T7)),1,0))</f>
        <v>0</v>
      </c>
      <c r="G7" s="288">
        <f t="shared" ref="G7:G17" si="4">IF($C7="","",IF(AND(OR(N7&gt;0,R7&gt;0),SUM(N7,R7)=SUM(M7:T7)),1,0))</f>
        <v>0</v>
      </c>
      <c r="H7" s="288">
        <f t="shared" ref="H7:H17" si="5">IF($C7="","",IF(L7&gt;6,1,0))</f>
        <v>0</v>
      </c>
      <c r="I7" s="288">
        <f t="shared" si="0"/>
        <v>0</v>
      </c>
      <c r="J7" s="58">
        <f>IF($C7="","",VLOOKUP($C7,CTBat!$G$10:$BR$208,J$4,FALSE))</f>
        <v>1</v>
      </c>
      <c r="K7" s="37">
        <f>IF($C7="","",VLOOKUP($C7,CTBat!$G$10:$BR$208,K$4,FALSE))</f>
        <v>1</v>
      </c>
      <c r="L7" s="38">
        <f>IF($C7="","",VLOOKUP($C7,CTBat!$G$10:$BR$208,L$4,FALSE))</f>
        <v>5</v>
      </c>
      <c r="M7" s="37" t="str">
        <f>IF($C7="","",VLOOKUP($C7,CTBat!$G$10:$BR$208,M$4,FALSE))</f>
        <v>-</v>
      </c>
      <c r="N7" s="37" t="str">
        <f>IF($C7="","",VLOOKUP($C7,CTBat!$G$10:$BR$208,N$4,FALSE))</f>
        <v>-</v>
      </c>
      <c r="O7" s="37" t="str">
        <f>IF($C7="","",VLOOKUP($C7,CTBat!$G$10:$BR$208,O$4,FALSE))</f>
        <v>-</v>
      </c>
      <c r="P7" s="37" t="str">
        <f>IF($C7="","",VLOOKUP($C7,CTBat!$G$10:$BR$208,P$4,FALSE))</f>
        <v>-</v>
      </c>
      <c r="Q7" s="37" t="str">
        <f>IF($C7="","",VLOOKUP($C7,CTBat!$G$10:$BR$208,Q$4,FALSE))</f>
        <v>-</v>
      </c>
      <c r="R7" s="37">
        <f>IF($C7="","",VLOOKUP($C7,CTBat!$G$10:$BR$208,R$4,FALSE))</f>
        <v>8</v>
      </c>
      <c r="S7" s="37" t="str">
        <f>IF($C7="","",VLOOKUP($C7,CTBat!$G$10:$BR$208,S$4,FALSE))</f>
        <v>-</v>
      </c>
      <c r="T7" s="38">
        <f>IF($C7="","",VLOOKUP($C7,CTBat!$G$10:$BR$208,T$4,FALSE))</f>
        <v>3</v>
      </c>
      <c r="U7" s="53">
        <f t="shared" si="1"/>
        <v>0</v>
      </c>
      <c r="V7" s="288">
        <f t="shared" si="2"/>
        <v>0</v>
      </c>
      <c r="W7" s="288">
        <f t="shared" ref="W7:W17" si="6">IF($C7="","",IF(AND(AD7&gt;6,AF7&gt;6,AG7&gt;6),1,0))</f>
        <v>0</v>
      </c>
      <c r="X7" s="288">
        <f t="shared" ref="X7:X17" si="7">IF($C7="","",IF(AND(AF7&gt;7,OR(AD7&gt;6,AG7&gt;6)),1,0))</f>
        <v>0</v>
      </c>
      <c r="Y7" s="288">
        <f t="shared" ref="Y7:Y17" si="8">IF($C7="","",IF(AND(AF7&gt;6,OR(AD7&gt;6,AG7&gt;6)),1,0))</f>
        <v>0</v>
      </c>
      <c r="Z7" s="288">
        <f t="shared" ref="Z7:Z17" si="9">IF($C7="","",IF(AND(OR(AD7&gt;6,AF7&gt;6),OR(AD7&gt;6,AG7&gt;6)),1,0))</f>
        <v>0</v>
      </c>
      <c r="AA7" s="288">
        <f t="shared" ref="AA7:AA17" si="10">IF($C7="","",IF(AND(AD7&gt;4,OR(AD7&gt;6,AF7&gt;6,AG7&gt;6)),1,0))</f>
        <v>0</v>
      </c>
      <c r="AB7" s="288">
        <f t="shared" ref="AB7:AB17" si="11">IF($C7="","",IF(AND(AD7&gt;4,OR(AD7&gt;6,AE7&gt;6,AF7&gt;6,AG7&gt;6)),1,0))</f>
        <v>0</v>
      </c>
      <c r="AC7" s="289">
        <f t="shared" ref="AC7:AC17" si="12">IF($C7="","",IF(AND(AD7&gt;4,MAX(AD7:AH7)&gt;6),1,0))</f>
        <v>0</v>
      </c>
      <c r="AD7" s="37">
        <f>IF($C7="","",VLOOKUP($C7,CTBat!$G$10:$BR$208,AD$4,FALSE))</f>
        <v>4</v>
      </c>
      <c r="AE7" s="37">
        <f>IF($C7="","",VLOOKUP($C7,CTBat!$G$10:$BR$208,AE$4,FALSE))</f>
        <v>3</v>
      </c>
      <c r="AF7" s="37">
        <f>IF($C7="","",VLOOKUP($C7,CTBat!$G$10:$BR$208,AF$4,FALSE))</f>
        <v>4</v>
      </c>
      <c r="AG7" s="37">
        <f>IF($C7="","",VLOOKUP($C7,CTBat!$G$10:$BR$208,AG$4,FALSE))</f>
        <v>5</v>
      </c>
      <c r="AH7" s="37">
        <f>IF($C7="","",VLOOKUP($C7,CTBat!$G$10:$BR$208,AH$4,FALSE))</f>
        <v>2</v>
      </c>
      <c r="AI7" s="58">
        <f>IF($C7="","",VLOOKUP($C7,CTBat!$G$10:$BR$208,AI$4,FALSE))</f>
        <v>5</v>
      </c>
      <c r="AJ7" s="38">
        <f>IF($C7="","",VLOOKUP($C7,CTBat!$G$10:$BR$208,AJ$4,FALSE))</f>
        <v>8</v>
      </c>
      <c r="AK7" s="67">
        <f t="shared" ref="AK7:AK17" si="13">IF($C7="","",(5*AD7+4*AF7+3*AG7+2*AE7+1*AH7+0.5*(AVERAGE(AD7:AE7))+0.5*AVERAGE(AD7,AH7)+1*(AVERAGE(AD7,AF7))+1*AVERAGE(AD7,AG7))/(5+4+3+2+1+0.5+0.5+1+1))</f>
        <v>3.9305555555555554</v>
      </c>
      <c r="AL7" s="53">
        <f t="shared" ref="AL7:AL17" si="14">IF($C7="","",IF(AND(OR(AU7+AX7&gt;12,AND(AU7&gt;6,AX7&gt;6)),AI7&gt;6,OR(AJ7&gt;=AI7,AJ7&gt;6)),1,0))</f>
        <v>0</v>
      </c>
      <c r="AM7" s="288">
        <f t="shared" ref="AM7:AM17" si="15">IF($C7="","",IF(OR(AND(AU7&gt;6,AY7&gt;6),AU7+AX7&gt;12),1,0))</f>
        <v>0</v>
      </c>
      <c r="AN7" s="288">
        <f t="shared" ref="AN7:AN17" si="16">IF($C7="","",IF(AND(AU7&gt;6,AW7&gt;6,AX7&gt;6),1,0))</f>
        <v>0</v>
      </c>
      <c r="AO7" s="288">
        <f t="shared" ref="AO7:AO17" si="17">IF($C7="","",IF(AND(AW7&gt;7,OR(AU7&gt;6,AX7&gt;6)),1,0))</f>
        <v>0</v>
      </c>
      <c r="AP7" s="288">
        <f t="shared" ref="AP7:AP17" si="18">IF($C7="","",IF(AND(AW7&gt;6,OR(AU7&gt;6,AX7&gt;6)),1,0))</f>
        <v>0</v>
      </c>
      <c r="AQ7" s="288">
        <f t="shared" ref="AQ7:AQ17" si="19">IF($C7="","",IF(AND(OR(AU7&gt;6,AW7&gt;6),OR(AU7&gt;6,AX7&gt;6)),1,0))</f>
        <v>0</v>
      </c>
      <c r="AR7" s="288">
        <f t="shared" ref="AR7:AR17" si="20">IF($C7="","",IF(AND(AU7&gt;4,OR(AU7&gt;6,AW7&gt;6,AX7&gt;6)),1,0))</f>
        <v>1</v>
      </c>
      <c r="AS7" s="288">
        <f t="shared" ref="AS7:AS17" si="21">IF($C7="","",IF(AND(AU7&gt;4,OR(AU7&gt;6,AV7&gt;6,AW7&gt;6,AX7&gt;6)),1,0))</f>
        <v>1</v>
      </c>
      <c r="AT7" s="289">
        <f t="shared" ref="AT7:AT17" si="22">IF($C7="","",IF(AND(AU7&gt;4,MAX(AU7:AY7)&gt;6),1,0))</f>
        <v>1</v>
      </c>
      <c r="AU7" s="58">
        <f>IF($C7="","",VLOOKUP($C7,CTBat!$G$10:$BR$208,AU$4,FALSE))</f>
        <v>6</v>
      </c>
      <c r="AV7" s="37">
        <f>IF($C7="","",VLOOKUP($C7,CTBat!$G$10:$BR$208,AV$4,FALSE))</f>
        <v>5</v>
      </c>
      <c r="AW7" s="37">
        <f>IF($C7="","",VLOOKUP($C7,CTBat!$G$10:$BR$208,AW$4,FALSE))</f>
        <v>8</v>
      </c>
      <c r="AX7" s="37">
        <f>IF($C7="","",VLOOKUP($C7,CTBat!$G$10:$BR$208,AX$4,FALSE))</f>
        <v>6</v>
      </c>
      <c r="AY7" s="38">
        <f>IF($C7="","",VLOOKUP($C7,CTBat!$G$10:$BR$208,AY$4,FALSE))</f>
        <v>4</v>
      </c>
      <c r="AZ7" s="67">
        <f t="shared" ref="AZ7:AZ17" si="23">IF($C7="","",(5*AU7+4*AW7+3*AX7+2*AV7+1*AY7+0.5*(AVERAGE(AU7:AV7))+0.5*AVERAGE(AU7,AY7)+1*(AVERAGE(AU7,AW7))+1*AVERAGE(AU7,AX7))/(5+4+3+2+1+0.5+0.5+1+1))</f>
        <v>6.2361111111111107</v>
      </c>
    </row>
    <row r="8" spans="1:52">
      <c r="A8">
        <v>3</v>
      </c>
      <c r="B8" s="36" t="s">
        <v>102</v>
      </c>
      <c r="C8" s="37" t="s">
        <v>430</v>
      </c>
      <c r="D8" s="37">
        <f>IF($C8="","",VLOOKUP($C8,CTBat!$G$10:$BR$208,D$4,FALSE))</f>
        <v>24</v>
      </c>
      <c r="E8" s="37" t="str">
        <f>IF($C8="","",VLOOKUP($C8,CTBat!$G$10:$BR$208,E$4,FALSE))</f>
        <v>R</v>
      </c>
      <c r="F8" s="53">
        <f t="shared" si="3"/>
        <v>0</v>
      </c>
      <c r="G8" s="288">
        <f t="shared" si="4"/>
        <v>0</v>
      </c>
      <c r="H8" s="288">
        <f t="shared" si="5"/>
        <v>1</v>
      </c>
      <c r="I8" s="288">
        <f t="shared" si="0"/>
        <v>1</v>
      </c>
      <c r="J8" s="58">
        <f>IF($C8="","",VLOOKUP($C8,CTBat!$G$10:$BR$208,J$4,FALSE))</f>
        <v>1</v>
      </c>
      <c r="K8" s="37">
        <f>IF($C8="","",VLOOKUP($C8,CTBat!$G$10:$BR$208,K$4,FALSE))</f>
        <v>1</v>
      </c>
      <c r="L8" s="38">
        <f>IF($C8="","",VLOOKUP($C8,CTBat!$G$10:$BR$208,L$4,FALSE))</f>
        <v>7</v>
      </c>
      <c r="M8" s="37" t="str">
        <f>IF($C8="","",VLOOKUP($C8,CTBat!$G$10:$BR$208,M$4,FALSE))</f>
        <v>-</v>
      </c>
      <c r="N8" s="37">
        <f>IF($C8="","",VLOOKUP($C8,CTBat!$G$10:$BR$208,N$4,FALSE))</f>
        <v>1</v>
      </c>
      <c r="O8" s="37" t="str">
        <f>IF($C8="","",VLOOKUP($C8,CTBat!$G$10:$BR$208,O$4,FALSE))</f>
        <v>-</v>
      </c>
      <c r="P8" s="37" t="str">
        <f>IF($C8="","",VLOOKUP($C8,CTBat!$G$10:$BR$208,P$4,FALSE))</f>
        <v>-</v>
      </c>
      <c r="Q8" s="37" t="str">
        <f>IF($C8="","",VLOOKUP($C8,CTBat!$G$10:$BR$208,Q$4,FALSE))</f>
        <v>-</v>
      </c>
      <c r="R8" s="37">
        <f>IF($C8="","",VLOOKUP($C8,CTBat!$G$10:$BR$208,R$4,FALSE))</f>
        <v>9</v>
      </c>
      <c r="S8" s="37">
        <f>IF($C8="","",VLOOKUP($C8,CTBat!$G$10:$BR$208,S$4,FALSE))</f>
        <v>10</v>
      </c>
      <c r="T8" s="38">
        <f>IF($C8="","",VLOOKUP($C8,CTBat!$G$10:$BR$208,T$4,FALSE))</f>
        <v>8</v>
      </c>
      <c r="U8" s="53">
        <f t="shared" si="1"/>
        <v>0</v>
      </c>
      <c r="V8" s="288">
        <f t="shared" si="2"/>
        <v>0</v>
      </c>
      <c r="W8" s="288">
        <f t="shared" si="6"/>
        <v>0</v>
      </c>
      <c r="X8" s="288">
        <f t="shared" si="7"/>
        <v>0</v>
      </c>
      <c r="Y8" s="288">
        <f t="shared" si="8"/>
        <v>0</v>
      </c>
      <c r="Z8" s="288">
        <f t="shared" si="9"/>
        <v>0</v>
      </c>
      <c r="AA8" s="288">
        <f t="shared" si="10"/>
        <v>0</v>
      </c>
      <c r="AB8" s="288">
        <f t="shared" si="11"/>
        <v>0</v>
      </c>
      <c r="AC8" s="289">
        <f t="shared" si="12"/>
        <v>0</v>
      </c>
      <c r="AD8" s="37">
        <f>IF($C8="","",VLOOKUP($C8,CTBat!$G$10:$BR$208,AD$4,FALSE))</f>
        <v>5</v>
      </c>
      <c r="AE8" s="37">
        <f>IF($C8="","",VLOOKUP($C8,CTBat!$G$10:$BR$208,AE$4,FALSE))</f>
        <v>2</v>
      </c>
      <c r="AF8" s="37">
        <f>IF($C8="","",VLOOKUP($C8,CTBat!$G$10:$BR$208,AF$4,FALSE))</f>
        <v>1</v>
      </c>
      <c r="AG8" s="37">
        <f>IF($C8="","",VLOOKUP($C8,CTBat!$G$10:$BR$208,AG$4,FALSE))</f>
        <v>3</v>
      </c>
      <c r="AH8" s="37">
        <f>IF($C8="","",VLOOKUP($C8,CTBat!$G$10:$BR$208,AH$4,FALSE))</f>
        <v>4</v>
      </c>
      <c r="AI8" s="58">
        <f>IF($C8="","",VLOOKUP($C8,CTBat!$G$10:$BR$208,AI$4,FALSE))</f>
        <v>8</v>
      </c>
      <c r="AJ8" s="38">
        <f>IF($C8="","",VLOOKUP($C8,CTBat!$G$10:$BR$208,AJ$4,FALSE))</f>
        <v>6</v>
      </c>
      <c r="AK8" s="67">
        <f t="shared" si="13"/>
        <v>3.1666666666666665</v>
      </c>
      <c r="AL8" s="53">
        <f t="shared" si="14"/>
        <v>0</v>
      </c>
      <c r="AM8" s="288">
        <f t="shared" si="15"/>
        <v>0</v>
      </c>
      <c r="AN8" s="288">
        <f t="shared" si="16"/>
        <v>0</v>
      </c>
      <c r="AO8" s="288">
        <f t="shared" si="17"/>
        <v>0</v>
      </c>
      <c r="AP8" s="288">
        <f t="shared" si="18"/>
        <v>0</v>
      </c>
      <c r="AQ8" s="288">
        <f t="shared" si="19"/>
        <v>0</v>
      </c>
      <c r="AR8" s="288">
        <f t="shared" si="20"/>
        <v>0</v>
      </c>
      <c r="AS8" s="288">
        <f t="shared" si="21"/>
        <v>0</v>
      </c>
      <c r="AT8" s="289">
        <f t="shared" si="22"/>
        <v>0</v>
      </c>
      <c r="AU8" s="58">
        <f>IF($C8="","",VLOOKUP($C8,CTBat!$G$10:$BR$208,AU$4,FALSE))</f>
        <v>5</v>
      </c>
      <c r="AV8" s="37">
        <f>IF($C8="","",VLOOKUP($C8,CTBat!$G$10:$BR$208,AV$4,FALSE))</f>
        <v>2</v>
      </c>
      <c r="AW8" s="37">
        <f>IF($C8="","",VLOOKUP($C8,CTBat!$G$10:$BR$208,AW$4,FALSE))</f>
        <v>1</v>
      </c>
      <c r="AX8" s="37">
        <f>IF($C8="","",VLOOKUP($C8,CTBat!$G$10:$BR$208,AX$4,FALSE))</f>
        <v>4</v>
      </c>
      <c r="AY8" s="38">
        <f>IF($C8="","",VLOOKUP($C8,CTBat!$G$10:$BR$208,AY$4,FALSE))</f>
        <v>4</v>
      </c>
      <c r="AZ8" s="67">
        <f t="shared" si="23"/>
        <v>3.3611111111111112</v>
      </c>
    </row>
    <row r="9" spans="1:52">
      <c r="A9">
        <v>4</v>
      </c>
      <c r="B9" s="36" t="s">
        <v>103</v>
      </c>
      <c r="C9" s="65" t="s">
        <v>595</v>
      </c>
      <c r="D9" s="37">
        <f>IF($C9="","",VLOOKUP($C9,CTBat!$G$10:$BR$208,D$4,FALSE))</f>
        <v>29</v>
      </c>
      <c r="E9" s="37" t="str">
        <f>IF($C9="","",VLOOKUP($C9,CTBat!$G$10:$BR$208,E$4,FALSE))</f>
        <v>R</v>
      </c>
      <c r="F9" s="53">
        <f t="shared" si="3"/>
        <v>0</v>
      </c>
      <c r="G9" s="288">
        <f t="shared" si="4"/>
        <v>0</v>
      </c>
      <c r="H9" s="288">
        <f t="shared" si="5"/>
        <v>1</v>
      </c>
      <c r="I9" s="288">
        <f t="shared" si="0"/>
        <v>1</v>
      </c>
      <c r="J9" s="58">
        <f>IF($C9="","",VLOOKUP($C9,CTBat!$G$10:$BR$208,J$4,FALSE))</f>
        <v>1</v>
      </c>
      <c r="K9" s="37">
        <f>IF($C9="","",VLOOKUP($C9,CTBat!$G$10:$BR$208,K$4,FALSE))</f>
        <v>1</v>
      </c>
      <c r="L9" s="38">
        <f>IF($C9="","",VLOOKUP($C9,CTBat!$G$10:$BR$208,L$4,FALSE))</f>
        <v>7</v>
      </c>
      <c r="M9" s="37" t="str">
        <f>IF($C9="","",VLOOKUP($C9,CTBat!$G$10:$BR$208,M$4,FALSE))</f>
        <v>-</v>
      </c>
      <c r="N9" s="37" t="str">
        <f>IF($C9="","",VLOOKUP($C9,CTBat!$G$10:$BR$208,N$4,FALSE))</f>
        <v>-</v>
      </c>
      <c r="O9" s="37" t="str">
        <f>IF($C9="","",VLOOKUP($C9,CTBat!$G$10:$BR$208,O$4,FALSE))</f>
        <v>-</v>
      </c>
      <c r="P9" s="37" t="str">
        <f>IF($C9="","",VLOOKUP($C9,CTBat!$G$10:$BR$208,P$4,FALSE))</f>
        <v>-</v>
      </c>
      <c r="Q9" s="37" t="str">
        <f>IF($C9="","",VLOOKUP($C9,CTBat!$G$10:$BR$208,Q$4,FALSE))</f>
        <v>-</v>
      </c>
      <c r="R9" s="37">
        <f>IF($C9="","",VLOOKUP($C9,CTBat!$G$10:$BR$208,R$4,FALSE))</f>
        <v>9</v>
      </c>
      <c r="S9" s="37">
        <f>IF($C9="","",VLOOKUP($C9,CTBat!$G$10:$BR$208,S$4,FALSE))</f>
        <v>5</v>
      </c>
      <c r="T9" s="38">
        <f>IF($C9="","",VLOOKUP($C9,CTBat!$G$10:$BR$208,T$4,FALSE))</f>
        <v>8</v>
      </c>
      <c r="U9" s="53">
        <f t="shared" si="1"/>
        <v>0</v>
      </c>
      <c r="V9" s="288">
        <f t="shared" si="2"/>
        <v>0</v>
      </c>
      <c r="W9" s="288">
        <f t="shared" si="6"/>
        <v>0</v>
      </c>
      <c r="X9" s="288">
        <f t="shared" si="7"/>
        <v>0</v>
      </c>
      <c r="Y9" s="288">
        <f t="shared" si="8"/>
        <v>0</v>
      </c>
      <c r="Z9" s="288">
        <f t="shared" si="9"/>
        <v>0</v>
      </c>
      <c r="AA9" s="288">
        <f t="shared" si="10"/>
        <v>0</v>
      </c>
      <c r="AB9" s="288">
        <f t="shared" si="11"/>
        <v>0</v>
      </c>
      <c r="AC9" s="289">
        <f t="shared" si="12"/>
        <v>1</v>
      </c>
      <c r="AD9" s="37">
        <f>IF($C9="","",VLOOKUP($C9,CTBat!$G$10:$BR$208,AD$4,FALSE))</f>
        <v>6</v>
      </c>
      <c r="AE9" s="37">
        <f>IF($C9="","",VLOOKUP($C9,CTBat!$G$10:$BR$208,AE$4,FALSE))</f>
        <v>5</v>
      </c>
      <c r="AF9" s="37">
        <f>IF($C9="","",VLOOKUP($C9,CTBat!$G$10:$BR$208,AF$4,FALSE))</f>
        <v>2</v>
      </c>
      <c r="AG9" s="37">
        <f>IF($C9="","",VLOOKUP($C9,CTBat!$G$10:$BR$208,AG$4,FALSE))</f>
        <v>5</v>
      </c>
      <c r="AH9" s="37">
        <f>IF($C9="","",VLOOKUP($C9,CTBat!$G$10:$BR$208,AH$4,FALSE))</f>
        <v>7</v>
      </c>
      <c r="AI9" s="58">
        <f>IF($C9="","",VLOOKUP($C9,CTBat!$G$10:$BR$208,AI$4,FALSE))</f>
        <v>7</v>
      </c>
      <c r="AJ9" s="38">
        <f>IF($C9="","",VLOOKUP($C9,CTBat!$G$10:$BR$208,AJ$4,FALSE))</f>
        <v>8</v>
      </c>
      <c r="AK9" s="67">
        <f t="shared" si="13"/>
        <v>4.75</v>
      </c>
      <c r="AL9" s="53">
        <f t="shared" si="14"/>
        <v>0</v>
      </c>
      <c r="AM9" s="288">
        <f t="shared" si="15"/>
        <v>0</v>
      </c>
      <c r="AN9" s="288">
        <f t="shared" si="16"/>
        <v>0</v>
      </c>
      <c r="AO9" s="288">
        <f t="shared" si="17"/>
        <v>0</v>
      </c>
      <c r="AP9" s="288">
        <f t="shared" si="18"/>
        <v>0</v>
      </c>
      <c r="AQ9" s="288">
        <f t="shared" si="19"/>
        <v>0</v>
      </c>
      <c r="AR9" s="288">
        <f t="shared" si="20"/>
        <v>0</v>
      </c>
      <c r="AS9" s="288">
        <f t="shared" si="21"/>
        <v>0</v>
      </c>
      <c r="AT9" s="289">
        <f t="shared" si="22"/>
        <v>1</v>
      </c>
      <c r="AU9" s="58">
        <f>IF($C9="","",VLOOKUP($C9,CTBat!$G$10:$BR$208,AU$4,FALSE))</f>
        <v>6</v>
      </c>
      <c r="AV9" s="37">
        <f>IF($C9="","",VLOOKUP($C9,CTBat!$G$10:$BR$208,AV$4,FALSE))</f>
        <v>5</v>
      </c>
      <c r="AW9" s="37">
        <f>IF($C9="","",VLOOKUP($C9,CTBat!$G$10:$BR$208,AW$4,FALSE))</f>
        <v>2</v>
      </c>
      <c r="AX9" s="37">
        <f>IF($C9="","",VLOOKUP($C9,CTBat!$G$10:$BR$208,AX$4,FALSE))</f>
        <v>5</v>
      </c>
      <c r="AY9" s="38">
        <f>IF($C9="","",VLOOKUP($C9,CTBat!$G$10:$BR$208,AY$4,FALSE))</f>
        <v>7</v>
      </c>
      <c r="AZ9" s="67">
        <f t="shared" si="23"/>
        <v>4.75</v>
      </c>
    </row>
    <row r="10" spans="1:52">
      <c r="A10">
        <v>5</v>
      </c>
      <c r="B10" s="36" t="s">
        <v>18</v>
      </c>
      <c r="C10" s="65" t="s">
        <v>238</v>
      </c>
      <c r="D10" s="37">
        <f>IF($C10="","",VLOOKUP($C10,CTBat!$G$10:$BR$208,D$4,FALSE))</f>
        <v>23</v>
      </c>
      <c r="E10" s="37" t="str">
        <f>IF($C10="","",VLOOKUP($C10,CTBat!$G$10:$BR$208,E$4,FALSE))</f>
        <v>R</v>
      </c>
      <c r="F10" s="53">
        <f t="shared" si="3"/>
        <v>1</v>
      </c>
      <c r="G10" s="288">
        <f t="shared" si="4"/>
        <v>1</v>
      </c>
      <c r="H10" s="288">
        <f t="shared" si="5"/>
        <v>0</v>
      </c>
      <c r="I10" s="288">
        <f t="shared" si="0"/>
        <v>0</v>
      </c>
      <c r="J10" s="58">
        <f>IF($C10="","",VLOOKUP($C10,CTBat!$G$10:$BR$208,J$4,FALSE))</f>
        <v>1</v>
      </c>
      <c r="K10" s="37">
        <f>IF($C10="","",VLOOKUP($C10,CTBat!$G$10:$BR$208,K$4,FALSE))</f>
        <v>3</v>
      </c>
      <c r="L10" s="38">
        <f>IF($C10="","",VLOOKUP($C10,CTBat!$G$10:$BR$208,L$4,FALSE))</f>
        <v>4</v>
      </c>
      <c r="M10" s="37" t="str">
        <f>IF($C10="","",VLOOKUP($C10,CTBat!$G$10:$BR$208,M$4,FALSE))</f>
        <v>-</v>
      </c>
      <c r="N10" s="37">
        <f>IF($C10="","",VLOOKUP($C10,CTBat!$G$10:$BR$208,N$4,FALSE))</f>
        <v>6</v>
      </c>
      <c r="O10" s="37" t="str">
        <f>IF($C10="","",VLOOKUP($C10,CTBat!$G$10:$BR$208,O$4,FALSE))</f>
        <v>-</v>
      </c>
      <c r="P10" s="37" t="str">
        <f>IF($C10="","",VLOOKUP($C10,CTBat!$G$10:$BR$208,P$4,FALSE))</f>
        <v>-</v>
      </c>
      <c r="Q10" s="37" t="str">
        <f>IF($C10="","",VLOOKUP($C10,CTBat!$G$10:$BR$208,Q$4,FALSE))</f>
        <v>-</v>
      </c>
      <c r="R10" s="37" t="str">
        <f>IF($C10="","",VLOOKUP($C10,CTBat!$G$10:$BR$208,R$4,FALSE))</f>
        <v>-</v>
      </c>
      <c r="S10" s="37" t="str">
        <f>IF($C10="","",VLOOKUP($C10,CTBat!$G$10:$BR$208,S$4,FALSE))</f>
        <v>-</v>
      </c>
      <c r="T10" s="38" t="str">
        <f>IF($C10="","",VLOOKUP($C10,CTBat!$G$10:$BR$208,T$4,FALSE))</f>
        <v>-</v>
      </c>
      <c r="U10" s="53">
        <f t="shared" si="1"/>
        <v>0</v>
      </c>
      <c r="V10" s="288">
        <f t="shared" si="2"/>
        <v>0</v>
      </c>
      <c r="W10" s="288">
        <f t="shared" si="6"/>
        <v>0</v>
      </c>
      <c r="X10" s="288">
        <f t="shared" si="7"/>
        <v>0</v>
      </c>
      <c r="Y10" s="288">
        <f t="shared" si="8"/>
        <v>0</v>
      </c>
      <c r="Z10" s="288">
        <f t="shared" si="9"/>
        <v>0</v>
      </c>
      <c r="AA10" s="288">
        <f t="shared" si="10"/>
        <v>0</v>
      </c>
      <c r="AB10" s="288">
        <f t="shared" si="11"/>
        <v>1</v>
      </c>
      <c r="AC10" s="289">
        <f t="shared" si="12"/>
        <v>1</v>
      </c>
      <c r="AD10" s="37">
        <f>IF($C10="","",VLOOKUP($C10,CTBat!$G$10:$BR$208,AD$4,FALSE))</f>
        <v>5</v>
      </c>
      <c r="AE10" s="37">
        <f>IF($C10="","",VLOOKUP($C10,CTBat!$G$10:$BR$208,AE$4,FALSE))</f>
        <v>8</v>
      </c>
      <c r="AF10" s="37">
        <f>IF($C10="","",VLOOKUP($C10,CTBat!$G$10:$BR$208,AF$4,FALSE))</f>
        <v>3</v>
      </c>
      <c r="AG10" s="37">
        <f>IF($C10="","",VLOOKUP($C10,CTBat!$G$10:$BR$208,AG$4,FALSE))</f>
        <v>4</v>
      </c>
      <c r="AH10" s="37">
        <f>IF($C10="","",VLOOKUP($C10,CTBat!$G$10:$BR$208,AH$4,FALSE))</f>
        <v>4</v>
      </c>
      <c r="AI10" s="58">
        <f>IF($C10="","",VLOOKUP($C10,CTBat!$G$10:$BR$208,AI$4,FALSE))</f>
        <v>2</v>
      </c>
      <c r="AJ10" s="38">
        <f>IF($C10="","",VLOOKUP($C10,CTBat!$G$10:$BR$208,AJ$4,FALSE))</f>
        <v>1</v>
      </c>
      <c r="AK10" s="67">
        <f t="shared" si="13"/>
        <v>4.6111111111111107</v>
      </c>
      <c r="AL10" s="53">
        <f t="shared" si="14"/>
        <v>0</v>
      </c>
      <c r="AM10" s="288">
        <f t="shared" si="15"/>
        <v>0</v>
      </c>
      <c r="AN10" s="288">
        <f t="shared" si="16"/>
        <v>0</v>
      </c>
      <c r="AO10" s="288">
        <f t="shared" si="17"/>
        <v>0</v>
      </c>
      <c r="AP10" s="288">
        <f t="shared" si="18"/>
        <v>0</v>
      </c>
      <c r="AQ10" s="288">
        <f t="shared" si="19"/>
        <v>0</v>
      </c>
      <c r="AR10" s="288">
        <f t="shared" si="20"/>
        <v>0</v>
      </c>
      <c r="AS10" s="288">
        <f t="shared" si="21"/>
        <v>1</v>
      </c>
      <c r="AT10" s="289">
        <f t="shared" si="22"/>
        <v>1</v>
      </c>
      <c r="AU10" s="58">
        <f>IF($C10="","",VLOOKUP($C10,CTBat!$G$10:$BR$208,AU$4,FALSE))</f>
        <v>6</v>
      </c>
      <c r="AV10" s="37">
        <f>IF($C10="","",VLOOKUP($C10,CTBat!$G$10:$BR$208,AV$4,FALSE))</f>
        <v>8</v>
      </c>
      <c r="AW10" s="37">
        <f>IF($C10="","",VLOOKUP($C10,CTBat!$G$10:$BR$208,AW$4,FALSE))</f>
        <v>3</v>
      </c>
      <c r="AX10" s="37">
        <f>IF($C10="","",VLOOKUP($C10,CTBat!$G$10:$BR$208,AX$4,FALSE))</f>
        <v>4</v>
      </c>
      <c r="AY10" s="38">
        <f>IF($C10="","",VLOOKUP($C10,CTBat!$G$10:$BR$208,AY$4,FALSE))</f>
        <v>5</v>
      </c>
      <c r="AZ10" s="67">
        <f t="shared" si="23"/>
        <v>5.041666666666667</v>
      </c>
    </row>
    <row r="11" spans="1:52">
      <c r="A11">
        <v>6</v>
      </c>
      <c r="B11" s="36" t="s">
        <v>104</v>
      </c>
      <c r="C11" s="65" t="s">
        <v>441</v>
      </c>
      <c r="D11" s="37">
        <f>IF($C11="","",VLOOKUP($C11,CTBat!$G$10:$BR$208,D$4,FALSE))</f>
        <v>23</v>
      </c>
      <c r="E11" s="37" t="str">
        <f>IF($C11="","",VLOOKUP($C11,CTBat!$G$10:$BR$208,E$4,FALSE))</f>
        <v>L</v>
      </c>
      <c r="F11" s="53">
        <f t="shared" si="3"/>
        <v>0</v>
      </c>
      <c r="G11" s="288">
        <f t="shared" si="4"/>
        <v>0</v>
      </c>
      <c r="H11" s="288">
        <f t="shared" si="5"/>
        <v>1</v>
      </c>
      <c r="I11" s="288">
        <f>IF($C11="","",IF(AND(S11&gt;4,S11&lt;&gt;"-"),1,0))</f>
        <v>0</v>
      </c>
      <c r="J11" s="58">
        <f>IF($C11="","",VLOOKUP($C11,CTBat!$G$10:$BR$208,J$4,FALSE))</f>
        <v>1</v>
      </c>
      <c r="K11" s="37">
        <f>IF($C11="","",VLOOKUP($C11,CTBat!$G$10:$BR$208,K$4,FALSE))</f>
        <v>1</v>
      </c>
      <c r="L11" s="38">
        <f>IF($C11="","",VLOOKUP($C11,CTBat!$G$10:$BR$208,L$4,FALSE))</f>
        <v>8</v>
      </c>
      <c r="M11" s="37" t="str">
        <f>IF($C11="","",VLOOKUP($C11,CTBat!$G$10:$BR$208,M$4,FALSE))</f>
        <v>-</v>
      </c>
      <c r="N11" s="37">
        <f>IF($C11="","",VLOOKUP($C11,CTBat!$G$10:$BR$208,N$4,FALSE))</f>
        <v>1</v>
      </c>
      <c r="O11" s="37" t="str">
        <f>IF($C11="","",VLOOKUP($C11,CTBat!$G$10:$BR$208,O$4,FALSE))</f>
        <v>-</v>
      </c>
      <c r="P11" s="37" t="str">
        <f>IF($C11="","",VLOOKUP($C11,CTBat!$G$10:$BR$208,P$4,FALSE))</f>
        <v>-</v>
      </c>
      <c r="Q11" s="37" t="str">
        <f>IF($C11="","",VLOOKUP($C11,CTBat!$G$10:$BR$208,Q$4,FALSE))</f>
        <v>-</v>
      </c>
      <c r="R11" s="37">
        <f>IF($C11="","",VLOOKUP($C11,CTBat!$G$10:$BR$208,R$4,FALSE))</f>
        <v>6</v>
      </c>
      <c r="S11" s="37">
        <f>IF($C11="","",VLOOKUP($C11,CTBat!$G$10:$BR$208,S$4,FALSE))</f>
        <v>1</v>
      </c>
      <c r="T11" s="38">
        <f>IF($C11="","",VLOOKUP($C11,CTBat!$G$10:$BR$208,T$4,FALSE))</f>
        <v>9</v>
      </c>
      <c r="U11" s="53">
        <f t="shared" si="1"/>
        <v>0</v>
      </c>
      <c r="V11" s="288">
        <f t="shared" si="2"/>
        <v>0</v>
      </c>
      <c r="W11" s="288">
        <f t="shared" si="6"/>
        <v>0</v>
      </c>
      <c r="X11" s="288">
        <f t="shared" si="7"/>
        <v>0</v>
      </c>
      <c r="Y11" s="288">
        <f t="shared" si="8"/>
        <v>0</v>
      </c>
      <c r="Z11" s="288">
        <f t="shared" si="9"/>
        <v>0</v>
      </c>
      <c r="AA11" s="288">
        <f t="shared" si="10"/>
        <v>0</v>
      </c>
      <c r="AB11" s="288">
        <f t="shared" si="11"/>
        <v>0</v>
      </c>
      <c r="AC11" s="289">
        <f t="shared" si="12"/>
        <v>0</v>
      </c>
      <c r="AD11" s="37">
        <f>IF($C11="","",VLOOKUP($C11,CTBat!$G$10:$BR$208,AD$4,FALSE))</f>
        <v>4</v>
      </c>
      <c r="AE11" s="37">
        <f>IF($C11="","",VLOOKUP($C11,CTBat!$G$10:$BR$208,AE$4,FALSE))</f>
        <v>8</v>
      </c>
      <c r="AF11" s="37">
        <f>IF($C11="","",VLOOKUP($C11,CTBat!$G$10:$BR$208,AF$4,FALSE))</f>
        <v>4</v>
      </c>
      <c r="AG11" s="37">
        <f>IF($C11="","",VLOOKUP($C11,CTBat!$G$10:$BR$208,AG$4,FALSE))</f>
        <v>3</v>
      </c>
      <c r="AH11" s="37">
        <f>IF($C11="","",VLOOKUP($C11,CTBat!$G$10:$BR$208,AH$4,FALSE))</f>
        <v>2</v>
      </c>
      <c r="AI11" s="58">
        <f>IF($C11="","",VLOOKUP($C11,CTBat!$G$10:$BR$208,AI$4,FALSE))</f>
        <v>6</v>
      </c>
      <c r="AJ11" s="38">
        <f>IF($C11="","",VLOOKUP($C11,CTBat!$G$10:$BR$208,AJ$4,FALSE))</f>
        <v>2</v>
      </c>
      <c r="AK11" s="67">
        <f t="shared" si="13"/>
        <v>4.166666666666667</v>
      </c>
      <c r="AL11" s="53">
        <f t="shared" si="14"/>
        <v>0</v>
      </c>
      <c r="AM11" s="288">
        <f t="shared" si="15"/>
        <v>0</v>
      </c>
      <c r="AN11" s="288">
        <f t="shared" si="16"/>
        <v>0</v>
      </c>
      <c r="AO11" s="288">
        <f t="shared" si="17"/>
        <v>0</v>
      </c>
      <c r="AP11" s="288">
        <f t="shared" si="18"/>
        <v>0</v>
      </c>
      <c r="AQ11" s="288">
        <f t="shared" si="19"/>
        <v>0</v>
      </c>
      <c r="AR11" s="288">
        <f t="shared" si="20"/>
        <v>0</v>
      </c>
      <c r="AS11" s="288">
        <f t="shared" si="21"/>
        <v>0</v>
      </c>
      <c r="AT11" s="289">
        <f t="shared" si="22"/>
        <v>0</v>
      </c>
      <c r="AU11" s="58">
        <f>IF($C11="","",VLOOKUP($C11,CTBat!$G$10:$BR$208,AU$4,FALSE))</f>
        <v>4</v>
      </c>
      <c r="AV11" s="37">
        <f>IF($C11="","",VLOOKUP($C11,CTBat!$G$10:$BR$208,AV$4,FALSE))</f>
        <v>8</v>
      </c>
      <c r="AW11" s="37">
        <f>IF($C11="","",VLOOKUP($C11,CTBat!$G$10:$BR$208,AW$4,FALSE))</f>
        <v>4</v>
      </c>
      <c r="AX11" s="37">
        <f>IF($C11="","",VLOOKUP($C11,CTBat!$G$10:$BR$208,AX$4,FALSE))</f>
        <v>3</v>
      </c>
      <c r="AY11" s="38">
        <f>IF($C11="","",VLOOKUP($C11,CTBat!$G$10:$BR$208,AY$4,FALSE))</f>
        <v>4</v>
      </c>
      <c r="AZ11" s="67">
        <f t="shared" si="23"/>
        <v>4.3055555555555554</v>
      </c>
    </row>
    <row r="12" spans="1:52">
      <c r="A12">
        <v>7</v>
      </c>
      <c r="B12" s="36" t="s">
        <v>104</v>
      </c>
      <c r="C12" s="65" t="s">
        <v>416</v>
      </c>
      <c r="D12" s="37">
        <f>IF($C12="","",VLOOKUP($C12,CTBat!$G$10:$BR$208,D$4,FALSE))</f>
        <v>24</v>
      </c>
      <c r="E12" s="37" t="str">
        <f>IF($C12="","",VLOOKUP($C12,CTBat!$G$10:$BR$208,E$4,FALSE))</f>
        <v>R</v>
      </c>
      <c r="F12" s="53">
        <f t="shared" si="3"/>
        <v>0</v>
      </c>
      <c r="G12" s="288">
        <f t="shared" si="4"/>
        <v>0</v>
      </c>
      <c r="H12" s="288">
        <f t="shared" si="5"/>
        <v>1</v>
      </c>
      <c r="I12" s="288">
        <f t="shared" ref="I12:I17" si="24">IF($C12="","",IF(AND(S12&gt;4,S12&lt;&gt;"-"),1,0))</f>
        <v>1</v>
      </c>
      <c r="J12" s="58">
        <f>IF($C12="","",VLOOKUP($C12,CTBat!$G$10:$BR$208,J$4,FALSE))</f>
        <v>1</v>
      </c>
      <c r="K12" s="37">
        <f>IF($C12="","",VLOOKUP($C12,CTBat!$G$10:$BR$208,K$4,FALSE))</f>
        <v>6</v>
      </c>
      <c r="L12" s="38">
        <f>IF($C12="","",VLOOKUP($C12,CTBat!$G$10:$BR$208,L$4,FALSE))</f>
        <v>8</v>
      </c>
      <c r="M12" s="37" t="str">
        <f>IF($C12="","",VLOOKUP($C12,CTBat!$G$10:$BR$208,M$4,FALSE))</f>
        <v>-</v>
      </c>
      <c r="N12" s="37">
        <f>IF($C12="","",VLOOKUP($C12,CTBat!$G$10:$BR$208,N$4,FALSE))</f>
        <v>4</v>
      </c>
      <c r="O12" s="37" t="str">
        <f>IF($C12="","",VLOOKUP($C12,CTBat!$G$10:$BR$208,O$4,FALSE))</f>
        <v>-</v>
      </c>
      <c r="P12" s="37">
        <f>IF($C12="","",VLOOKUP($C12,CTBat!$G$10:$BR$208,P$4,FALSE))</f>
        <v>1</v>
      </c>
      <c r="Q12" s="37" t="str">
        <f>IF($C12="","",VLOOKUP($C12,CTBat!$G$10:$BR$208,Q$4,FALSE))</f>
        <v>-</v>
      </c>
      <c r="R12" s="37">
        <f>IF($C12="","",VLOOKUP($C12,CTBat!$G$10:$BR$208,R$4,FALSE))</f>
        <v>9</v>
      </c>
      <c r="S12" s="37">
        <f>IF($C12="","",VLOOKUP($C12,CTBat!$G$10:$BR$208,S$4,FALSE))</f>
        <v>10</v>
      </c>
      <c r="T12" s="38">
        <f>IF($C12="","",VLOOKUP($C12,CTBat!$G$10:$BR$208,T$4,FALSE))</f>
        <v>10</v>
      </c>
      <c r="U12" s="53">
        <f t="shared" si="1"/>
        <v>0</v>
      </c>
      <c r="V12" s="288">
        <f t="shared" si="2"/>
        <v>0</v>
      </c>
      <c r="W12" s="288">
        <f t="shared" si="6"/>
        <v>0</v>
      </c>
      <c r="X12" s="288">
        <f t="shared" si="7"/>
        <v>0</v>
      </c>
      <c r="Y12" s="288">
        <f t="shared" si="8"/>
        <v>0</v>
      </c>
      <c r="Z12" s="288">
        <f t="shared" si="9"/>
        <v>0</v>
      </c>
      <c r="AA12" s="288">
        <f t="shared" si="10"/>
        <v>0</v>
      </c>
      <c r="AB12" s="288">
        <f t="shared" si="11"/>
        <v>0</v>
      </c>
      <c r="AC12" s="289">
        <f t="shared" si="12"/>
        <v>0</v>
      </c>
      <c r="AD12" s="37">
        <f>IF($C12="","",VLOOKUP($C12,CTBat!$G$10:$BR$208,AD$4,FALSE))</f>
        <v>5</v>
      </c>
      <c r="AE12" s="37">
        <f>IF($C12="","",VLOOKUP($C12,CTBat!$G$10:$BR$208,AE$4,FALSE))</f>
        <v>2</v>
      </c>
      <c r="AF12" s="37">
        <f>IF($C12="","",VLOOKUP($C12,CTBat!$G$10:$BR$208,AF$4,FALSE))</f>
        <v>1</v>
      </c>
      <c r="AG12" s="37">
        <f>IF($C12="","",VLOOKUP($C12,CTBat!$G$10:$BR$208,AG$4,FALSE))</f>
        <v>2</v>
      </c>
      <c r="AH12" s="37">
        <f>IF($C12="","",VLOOKUP($C12,CTBat!$G$10:$BR$208,AH$4,FALSE))</f>
        <v>4</v>
      </c>
      <c r="AI12" s="58">
        <f>IF($C12="","",VLOOKUP($C12,CTBat!$G$10:$BR$208,AI$4,FALSE))</f>
        <v>5</v>
      </c>
      <c r="AJ12" s="38">
        <f>IF($C12="","",VLOOKUP($C12,CTBat!$G$10:$BR$208,AJ$4,FALSE))</f>
        <v>4</v>
      </c>
      <c r="AK12" s="67">
        <f t="shared" si="13"/>
        <v>2.9722222222222223</v>
      </c>
      <c r="AL12" s="53">
        <f t="shared" si="14"/>
        <v>0</v>
      </c>
      <c r="AM12" s="288">
        <f t="shared" si="15"/>
        <v>0</v>
      </c>
      <c r="AN12" s="288">
        <f t="shared" si="16"/>
        <v>0</v>
      </c>
      <c r="AO12" s="288">
        <f t="shared" si="17"/>
        <v>0</v>
      </c>
      <c r="AP12" s="288">
        <f t="shared" si="18"/>
        <v>0</v>
      </c>
      <c r="AQ12" s="288">
        <f t="shared" si="19"/>
        <v>0</v>
      </c>
      <c r="AR12" s="288">
        <f t="shared" si="20"/>
        <v>0</v>
      </c>
      <c r="AS12" s="288">
        <f t="shared" si="21"/>
        <v>0</v>
      </c>
      <c r="AT12" s="289">
        <f t="shared" si="22"/>
        <v>0</v>
      </c>
      <c r="AU12" s="58">
        <f>IF($C12="","",VLOOKUP($C12,CTBat!$G$10:$BR$208,AU$4,FALSE))</f>
        <v>5</v>
      </c>
      <c r="AV12" s="37">
        <f>IF($C12="","",VLOOKUP($C12,CTBat!$G$10:$BR$208,AV$4,FALSE))</f>
        <v>2</v>
      </c>
      <c r="AW12" s="37">
        <f>IF($C12="","",VLOOKUP($C12,CTBat!$G$10:$BR$208,AW$4,FALSE))</f>
        <v>1</v>
      </c>
      <c r="AX12" s="37">
        <f>IF($C12="","",VLOOKUP($C12,CTBat!$G$10:$BR$208,AX$4,FALSE))</f>
        <v>2</v>
      </c>
      <c r="AY12" s="38">
        <f>IF($C12="","",VLOOKUP($C12,CTBat!$G$10:$BR$208,AY$4,FALSE))</f>
        <v>4</v>
      </c>
      <c r="AZ12" s="67">
        <f t="shared" si="23"/>
        <v>2.9722222222222223</v>
      </c>
    </row>
    <row r="13" spans="1:52">
      <c r="A13">
        <v>8</v>
      </c>
      <c r="B13" s="36" t="s">
        <v>104</v>
      </c>
      <c r="C13" s="65"/>
      <c r="D13" s="37" t="str">
        <f>IF($C13="","",VLOOKUP($C13,CTBat!$G$10:$BR$208,D$4,FALSE))</f>
        <v/>
      </c>
      <c r="E13" s="37" t="str">
        <f>IF($C13="","",VLOOKUP($C13,CTBat!$G$10:$BR$208,E$4,FALSE))</f>
        <v/>
      </c>
      <c r="F13" s="53" t="str">
        <f t="shared" si="3"/>
        <v/>
      </c>
      <c r="G13" s="288" t="str">
        <f t="shared" si="4"/>
        <v/>
      </c>
      <c r="H13" s="288" t="str">
        <f t="shared" si="5"/>
        <v/>
      </c>
      <c r="I13" s="288" t="str">
        <f t="shared" si="24"/>
        <v/>
      </c>
      <c r="J13" s="58" t="str">
        <f>IF($C13="","",VLOOKUP($C13,CTBat!$G$10:$BR$208,J$4,FALSE))</f>
        <v/>
      </c>
      <c r="K13" s="37" t="str">
        <f>IF($C13="","",VLOOKUP($C13,CTBat!$G$10:$BR$208,K$4,FALSE))</f>
        <v/>
      </c>
      <c r="L13" s="38" t="str">
        <f>IF($C13="","",VLOOKUP($C13,CTBat!$G$10:$BR$208,L$4,FALSE))</f>
        <v/>
      </c>
      <c r="M13" s="37" t="str">
        <f>IF($C13="","",VLOOKUP($C13,CTBat!$G$10:$BR$208,M$4,FALSE))</f>
        <v/>
      </c>
      <c r="N13" s="37" t="str">
        <f>IF($C13="","",VLOOKUP($C13,CTBat!$G$10:$BR$208,N$4,FALSE))</f>
        <v/>
      </c>
      <c r="O13" s="37" t="str">
        <f>IF($C13="","",VLOOKUP($C13,CTBat!$G$10:$BR$208,O$4,FALSE))</f>
        <v/>
      </c>
      <c r="P13" s="37" t="str">
        <f>IF($C13="","",VLOOKUP($C13,CTBat!$G$10:$BR$208,P$4,FALSE))</f>
        <v/>
      </c>
      <c r="Q13" s="37" t="str">
        <f>IF($C13="","",VLOOKUP($C13,CTBat!$G$10:$BR$208,Q$4,FALSE))</f>
        <v/>
      </c>
      <c r="R13" s="37" t="str">
        <f>IF($C13="","",VLOOKUP($C13,CTBat!$G$10:$BR$208,R$4,FALSE))</f>
        <v/>
      </c>
      <c r="S13" s="37" t="str">
        <f>IF($C13="","",VLOOKUP($C13,CTBat!$G$10:$BR$208,S$4,FALSE))</f>
        <v/>
      </c>
      <c r="T13" s="38" t="str">
        <f>IF($C13="","",VLOOKUP($C13,CTBat!$G$10:$BR$208,T$4,FALSE))</f>
        <v/>
      </c>
      <c r="U13" s="53" t="str">
        <f t="shared" si="1"/>
        <v/>
      </c>
      <c r="V13" s="288" t="str">
        <f t="shared" si="2"/>
        <v/>
      </c>
      <c r="W13" s="288" t="str">
        <f t="shared" si="6"/>
        <v/>
      </c>
      <c r="X13" s="288" t="str">
        <f t="shared" si="7"/>
        <v/>
      </c>
      <c r="Y13" s="288" t="str">
        <f t="shared" si="8"/>
        <v/>
      </c>
      <c r="Z13" s="288" t="str">
        <f t="shared" si="9"/>
        <v/>
      </c>
      <c r="AA13" s="288" t="str">
        <f t="shared" si="10"/>
        <v/>
      </c>
      <c r="AB13" s="288" t="str">
        <f t="shared" si="11"/>
        <v/>
      </c>
      <c r="AC13" s="289" t="str">
        <f t="shared" si="12"/>
        <v/>
      </c>
      <c r="AD13" s="37" t="str">
        <f>IF($C13="","",VLOOKUP($C13,CTBat!$G$10:$BR$208,AD$4,FALSE))</f>
        <v/>
      </c>
      <c r="AE13" s="37" t="str">
        <f>IF($C13="","",VLOOKUP($C13,CTBat!$G$10:$BR$208,AE$4,FALSE))</f>
        <v/>
      </c>
      <c r="AF13" s="37" t="str">
        <f>IF($C13="","",VLOOKUP($C13,CTBat!$G$10:$BR$208,AF$4,FALSE))</f>
        <v/>
      </c>
      <c r="AG13" s="37" t="str">
        <f>IF($C13="","",VLOOKUP($C13,CTBat!$G$10:$BR$208,AG$4,FALSE))</f>
        <v/>
      </c>
      <c r="AH13" s="37" t="str">
        <f>IF($C13="","",VLOOKUP($C13,CTBat!$G$10:$BR$208,AH$4,FALSE))</f>
        <v/>
      </c>
      <c r="AI13" s="58" t="str">
        <f>IF($C13="","",VLOOKUP($C13,CTBat!$G$10:$BR$208,AI$4,FALSE))</f>
        <v/>
      </c>
      <c r="AJ13" s="38" t="str">
        <f>IF($C13="","",VLOOKUP($C13,CTBat!$G$10:$BR$208,AJ$4,FALSE))</f>
        <v/>
      </c>
      <c r="AK13" s="67" t="str">
        <f t="shared" si="13"/>
        <v/>
      </c>
      <c r="AL13" s="53" t="str">
        <f t="shared" si="14"/>
        <v/>
      </c>
      <c r="AM13" s="288" t="str">
        <f t="shared" si="15"/>
        <v/>
      </c>
      <c r="AN13" s="288" t="str">
        <f t="shared" si="16"/>
        <v/>
      </c>
      <c r="AO13" s="288" t="str">
        <f t="shared" si="17"/>
        <v/>
      </c>
      <c r="AP13" s="288" t="str">
        <f t="shared" si="18"/>
        <v/>
      </c>
      <c r="AQ13" s="288" t="str">
        <f t="shared" si="19"/>
        <v/>
      </c>
      <c r="AR13" s="288" t="str">
        <f t="shared" si="20"/>
        <v/>
      </c>
      <c r="AS13" s="288" t="str">
        <f t="shared" si="21"/>
        <v/>
      </c>
      <c r="AT13" s="289" t="str">
        <f t="shared" si="22"/>
        <v/>
      </c>
      <c r="AU13" s="58" t="str">
        <f>IF($C13="","",VLOOKUP($C13,CTBat!$G$10:$BR$208,AU$4,FALSE))</f>
        <v/>
      </c>
      <c r="AV13" s="37" t="str">
        <f>IF($C13="","",VLOOKUP($C13,CTBat!$G$10:$BR$208,AV$4,FALSE))</f>
        <v/>
      </c>
      <c r="AW13" s="37" t="str">
        <f>IF($C13="","",VLOOKUP($C13,CTBat!$G$10:$BR$208,AW$4,FALSE))</f>
        <v/>
      </c>
      <c r="AX13" s="37" t="str">
        <f>IF($C13="","",VLOOKUP($C13,CTBat!$G$10:$BR$208,AX$4,FALSE))</f>
        <v/>
      </c>
      <c r="AY13" s="38" t="str">
        <f>IF($C13="","",VLOOKUP($C13,CTBat!$G$10:$BR$208,AY$4,FALSE))</f>
        <v/>
      </c>
      <c r="AZ13" s="67" t="str">
        <f t="shared" si="23"/>
        <v/>
      </c>
    </row>
    <row r="14" spans="1:52">
      <c r="A14">
        <v>9</v>
      </c>
      <c r="B14" s="36" t="s">
        <v>104</v>
      </c>
      <c r="C14" s="65"/>
      <c r="D14" s="37" t="str">
        <f>IF($C14="","",VLOOKUP($C14,CTBat!$G$10:$BR$208,D$4,FALSE))</f>
        <v/>
      </c>
      <c r="E14" s="37" t="str">
        <f>IF($C14="","",VLOOKUP($C14,CTBat!$G$10:$BR$208,E$4,FALSE))</f>
        <v/>
      </c>
      <c r="F14" s="53" t="str">
        <f t="shared" si="3"/>
        <v/>
      </c>
      <c r="G14" s="288" t="str">
        <f t="shared" si="4"/>
        <v/>
      </c>
      <c r="H14" s="288" t="str">
        <f t="shared" si="5"/>
        <v/>
      </c>
      <c r="I14" s="288" t="str">
        <f t="shared" si="24"/>
        <v/>
      </c>
      <c r="J14" s="58" t="str">
        <f>IF($C14="","",VLOOKUP($C14,CTBat!$G$10:$BR$208,J$4,FALSE))</f>
        <v/>
      </c>
      <c r="K14" s="37" t="str">
        <f>IF($C14="","",VLOOKUP($C14,CTBat!$G$10:$BR$208,K$4,FALSE))</f>
        <v/>
      </c>
      <c r="L14" s="38" t="str">
        <f>IF($C14="","",VLOOKUP($C14,CTBat!$G$10:$BR$208,L$4,FALSE))</f>
        <v/>
      </c>
      <c r="M14" s="37" t="str">
        <f>IF($C14="","",VLOOKUP($C14,CTBat!$G$10:$BR$208,M$4,FALSE))</f>
        <v/>
      </c>
      <c r="N14" s="37" t="str">
        <f>IF($C14="","",VLOOKUP($C14,CTBat!$G$10:$BR$208,N$4,FALSE))</f>
        <v/>
      </c>
      <c r="O14" s="37" t="str">
        <f>IF($C14="","",VLOOKUP($C14,CTBat!$G$10:$BR$208,O$4,FALSE))</f>
        <v/>
      </c>
      <c r="P14" s="37" t="str">
        <f>IF($C14="","",VLOOKUP($C14,CTBat!$G$10:$BR$208,P$4,FALSE))</f>
        <v/>
      </c>
      <c r="Q14" s="37" t="str">
        <f>IF($C14="","",VLOOKUP($C14,CTBat!$G$10:$BR$208,Q$4,FALSE))</f>
        <v/>
      </c>
      <c r="R14" s="37" t="str">
        <f>IF($C14="","",VLOOKUP($C14,CTBat!$G$10:$BR$208,R$4,FALSE))</f>
        <v/>
      </c>
      <c r="S14" s="37" t="str">
        <f>IF($C14="","",VLOOKUP($C14,CTBat!$G$10:$BR$208,S$4,FALSE))</f>
        <v/>
      </c>
      <c r="T14" s="38" t="str">
        <f>IF($C14="","",VLOOKUP($C14,CTBat!$G$10:$BR$208,T$4,FALSE))</f>
        <v/>
      </c>
      <c r="U14" s="53" t="str">
        <f t="shared" si="1"/>
        <v/>
      </c>
      <c r="V14" s="288" t="str">
        <f t="shared" si="2"/>
        <v/>
      </c>
      <c r="W14" s="288" t="str">
        <f t="shared" si="6"/>
        <v/>
      </c>
      <c r="X14" s="288" t="str">
        <f t="shared" si="7"/>
        <v/>
      </c>
      <c r="Y14" s="288" t="str">
        <f t="shared" si="8"/>
        <v/>
      </c>
      <c r="Z14" s="288" t="str">
        <f t="shared" si="9"/>
        <v/>
      </c>
      <c r="AA14" s="288" t="str">
        <f t="shared" si="10"/>
        <v/>
      </c>
      <c r="AB14" s="288" t="str">
        <f t="shared" si="11"/>
        <v/>
      </c>
      <c r="AC14" s="289" t="str">
        <f t="shared" si="12"/>
        <v/>
      </c>
      <c r="AD14" s="37" t="str">
        <f>IF($C14="","",VLOOKUP($C14,CTBat!$G$10:$BR$208,AD$4,FALSE))</f>
        <v/>
      </c>
      <c r="AE14" s="37" t="str">
        <f>IF($C14="","",VLOOKUP($C14,CTBat!$G$10:$BR$208,AE$4,FALSE))</f>
        <v/>
      </c>
      <c r="AF14" s="37" t="str">
        <f>IF($C14="","",VLOOKUP($C14,CTBat!$G$10:$BR$208,AF$4,FALSE))</f>
        <v/>
      </c>
      <c r="AG14" s="37" t="str">
        <f>IF($C14="","",VLOOKUP($C14,CTBat!$G$10:$BR$208,AG$4,FALSE))</f>
        <v/>
      </c>
      <c r="AH14" s="37" t="str">
        <f>IF($C14="","",VLOOKUP($C14,CTBat!$G$10:$BR$208,AH$4,FALSE))</f>
        <v/>
      </c>
      <c r="AI14" s="58" t="str">
        <f>IF($C14="","",VLOOKUP($C14,CTBat!$G$10:$BR$208,AI$4,FALSE))</f>
        <v/>
      </c>
      <c r="AJ14" s="38" t="str">
        <f>IF($C14="","",VLOOKUP($C14,CTBat!$G$10:$BR$208,AJ$4,FALSE))</f>
        <v/>
      </c>
      <c r="AK14" s="67" t="str">
        <f t="shared" si="13"/>
        <v/>
      </c>
      <c r="AL14" s="53" t="str">
        <f t="shared" si="14"/>
        <v/>
      </c>
      <c r="AM14" s="288" t="str">
        <f t="shared" si="15"/>
        <v/>
      </c>
      <c r="AN14" s="288" t="str">
        <f t="shared" si="16"/>
        <v/>
      </c>
      <c r="AO14" s="288" t="str">
        <f t="shared" si="17"/>
        <v/>
      </c>
      <c r="AP14" s="288" t="str">
        <f t="shared" si="18"/>
        <v/>
      </c>
      <c r="AQ14" s="288" t="str">
        <f t="shared" si="19"/>
        <v/>
      </c>
      <c r="AR14" s="288" t="str">
        <f t="shared" si="20"/>
        <v/>
      </c>
      <c r="AS14" s="288" t="str">
        <f t="shared" si="21"/>
        <v/>
      </c>
      <c r="AT14" s="289" t="str">
        <f t="shared" si="22"/>
        <v/>
      </c>
      <c r="AU14" s="58" t="str">
        <f>IF($C14="","",VLOOKUP($C14,CTBat!$G$10:$BR$208,AU$4,FALSE))</f>
        <v/>
      </c>
      <c r="AV14" s="37" t="str">
        <f>IF($C14="","",VLOOKUP($C14,CTBat!$G$10:$BR$208,AV$4,FALSE))</f>
        <v/>
      </c>
      <c r="AW14" s="37" t="str">
        <f>IF($C14="","",VLOOKUP($C14,CTBat!$G$10:$BR$208,AW$4,FALSE))</f>
        <v/>
      </c>
      <c r="AX14" s="37" t="str">
        <f>IF($C14="","",VLOOKUP($C14,CTBat!$G$10:$BR$208,AX$4,FALSE))</f>
        <v/>
      </c>
      <c r="AY14" s="38" t="str">
        <f>IF($C14="","",VLOOKUP($C14,CTBat!$G$10:$BR$208,AY$4,FALSE))</f>
        <v/>
      </c>
      <c r="AZ14" s="67" t="str">
        <f t="shared" si="23"/>
        <v/>
      </c>
    </row>
    <row r="15" spans="1:52">
      <c r="A15">
        <v>9</v>
      </c>
      <c r="B15" s="36" t="s">
        <v>104</v>
      </c>
      <c r="C15" s="65"/>
      <c r="D15" s="37" t="str">
        <f>IF($C15="","",VLOOKUP($C15,CTBat!$G$10:$BR$208,D$4,FALSE))</f>
        <v/>
      </c>
      <c r="E15" s="37" t="str">
        <f>IF($C15="","",VLOOKUP($C15,CTBat!$G$10:$BR$208,E$4,FALSE))</f>
        <v/>
      </c>
      <c r="F15" s="53" t="str">
        <f t="shared" si="3"/>
        <v/>
      </c>
      <c r="G15" s="288" t="str">
        <f t="shared" si="4"/>
        <v/>
      </c>
      <c r="H15" s="288" t="str">
        <f t="shared" si="5"/>
        <v/>
      </c>
      <c r="I15" s="288" t="str">
        <f t="shared" si="24"/>
        <v/>
      </c>
      <c r="J15" s="58" t="str">
        <f>IF($C15="","",VLOOKUP($C15,CTBat!$G$10:$BR$208,J$4,FALSE))</f>
        <v/>
      </c>
      <c r="K15" s="37" t="str">
        <f>IF($C15="","",VLOOKUP($C15,CTBat!$G$10:$BR$208,K$4,FALSE))</f>
        <v/>
      </c>
      <c r="L15" s="38" t="str">
        <f>IF($C15="","",VLOOKUP($C15,CTBat!$G$10:$BR$208,L$4,FALSE))</f>
        <v/>
      </c>
      <c r="M15" s="37" t="str">
        <f>IF($C15="","",VLOOKUP($C15,CTBat!$G$10:$BR$208,M$4,FALSE))</f>
        <v/>
      </c>
      <c r="N15" s="37" t="str">
        <f>IF($C15="","",VLOOKUP($C15,CTBat!$G$10:$BR$208,N$4,FALSE))</f>
        <v/>
      </c>
      <c r="O15" s="37" t="str">
        <f>IF($C15="","",VLOOKUP($C15,CTBat!$G$10:$BR$208,O$4,FALSE))</f>
        <v/>
      </c>
      <c r="P15" s="37" t="str">
        <f>IF($C15="","",VLOOKUP($C15,CTBat!$G$10:$BR$208,P$4,FALSE))</f>
        <v/>
      </c>
      <c r="Q15" s="37" t="str">
        <f>IF($C15="","",VLOOKUP($C15,CTBat!$G$10:$BR$208,Q$4,FALSE))</f>
        <v/>
      </c>
      <c r="R15" s="37" t="str">
        <f>IF($C15="","",VLOOKUP($C15,CTBat!$G$10:$BR$208,R$4,FALSE))</f>
        <v/>
      </c>
      <c r="S15" s="37" t="str">
        <f>IF($C15="","",VLOOKUP($C15,CTBat!$G$10:$BR$208,S$4,FALSE))</f>
        <v/>
      </c>
      <c r="T15" s="38" t="str">
        <f>IF($C15="","",VLOOKUP($C15,CTBat!$G$10:$BR$208,T$4,FALSE))</f>
        <v/>
      </c>
      <c r="U15" s="53" t="str">
        <f t="shared" si="1"/>
        <v/>
      </c>
      <c r="V15" s="288" t="str">
        <f t="shared" si="2"/>
        <v/>
      </c>
      <c r="W15" s="288" t="str">
        <f t="shared" si="6"/>
        <v/>
      </c>
      <c r="X15" s="288" t="str">
        <f t="shared" si="7"/>
        <v/>
      </c>
      <c r="Y15" s="288" t="str">
        <f t="shared" si="8"/>
        <v/>
      </c>
      <c r="Z15" s="288" t="str">
        <f t="shared" si="9"/>
        <v/>
      </c>
      <c r="AA15" s="288" t="str">
        <f t="shared" si="10"/>
        <v/>
      </c>
      <c r="AB15" s="288" t="str">
        <f t="shared" si="11"/>
        <v/>
      </c>
      <c r="AC15" s="289" t="str">
        <f t="shared" si="12"/>
        <v/>
      </c>
      <c r="AD15" s="37" t="str">
        <f>IF($C15="","",VLOOKUP($C15,CTBat!$G$10:$BR$208,AD$4,FALSE))</f>
        <v/>
      </c>
      <c r="AE15" s="37" t="str">
        <f>IF($C15="","",VLOOKUP($C15,CTBat!$G$10:$BR$208,AE$4,FALSE))</f>
        <v/>
      </c>
      <c r="AF15" s="37" t="str">
        <f>IF($C15="","",VLOOKUP($C15,CTBat!$G$10:$BR$208,AF$4,FALSE))</f>
        <v/>
      </c>
      <c r="AG15" s="37" t="str">
        <f>IF($C15="","",VLOOKUP($C15,CTBat!$G$10:$BR$208,AG$4,FALSE))</f>
        <v/>
      </c>
      <c r="AH15" s="37" t="str">
        <f>IF($C15="","",VLOOKUP($C15,CTBat!$G$10:$BR$208,AH$4,FALSE))</f>
        <v/>
      </c>
      <c r="AI15" s="58" t="str">
        <f>IF($C15="","",VLOOKUP($C15,CTBat!$G$10:$BR$208,AI$4,FALSE))</f>
        <v/>
      </c>
      <c r="AJ15" s="38" t="str">
        <f>IF($C15="","",VLOOKUP($C15,CTBat!$G$10:$BR$208,AJ$4,FALSE))</f>
        <v/>
      </c>
      <c r="AK15" s="67" t="str">
        <f t="shared" si="13"/>
        <v/>
      </c>
      <c r="AL15" s="53" t="str">
        <f t="shared" si="14"/>
        <v/>
      </c>
      <c r="AM15" s="288" t="str">
        <f t="shared" si="15"/>
        <v/>
      </c>
      <c r="AN15" s="288" t="str">
        <f t="shared" si="16"/>
        <v/>
      </c>
      <c r="AO15" s="288" t="str">
        <f t="shared" si="17"/>
        <v/>
      </c>
      <c r="AP15" s="288" t="str">
        <f t="shared" si="18"/>
        <v/>
      </c>
      <c r="AQ15" s="288" t="str">
        <f t="shared" si="19"/>
        <v/>
      </c>
      <c r="AR15" s="288" t="str">
        <f t="shared" si="20"/>
        <v/>
      </c>
      <c r="AS15" s="288" t="str">
        <f t="shared" si="21"/>
        <v/>
      </c>
      <c r="AT15" s="289" t="str">
        <f t="shared" si="22"/>
        <v/>
      </c>
      <c r="AU15" s="58" t="str">
        <f>IF($C15="","",VLOOKUP($C15,CTBat!$G$10:$BR$208,AU$4,FALSE))</f>
        <v/>
      </c>
      <c r="AV15" s="37" t="str">
        <f>IF($C15="","",VLOOKUP($C15,CTBat!$G$10:$BR$208,AV$4,FALSE))</f>
        <v/>
      </c>
      <c r="AW15" s="37" t="str">
        <f>IF($C15="","",VLOOKUP($C15,CTBat!$G$10:$BR$208,AW$4,FALSE))</f>
        <v/>
      </c>
      <c r="AX15" s="37" t="str">
        <f>IF($C15="","",VLOOKUP($C15,CTBat!$G$10:$BR$208,AX$4,FALSE))</f>
        <v/>
      </c>
      <c r="AY15" s="38" t="str">
        <f>IF($C15="","",VLOOKUP($C15,CTBat!$G$10:$BR$208,AY$4,FALSE))</f>
        <v/>
      </c>
      <c r="AZ15" s="67" t="str">
        <f t="shared" si="23"/>
        <v/>
      </c>
    </row>
    <row r="16" spans="1:52">
      <c r="A16">
        <v>9</v>
      </c>
      <c r="B16" s="36" t="s">
        <v>104</v>
      </c>
      <c r="C16" s="65"/>
      <c r="D16" s="37" t="str">
        <f>IF($C16="","",VLOOKUP($C16,CTBat!$G$10:$BR$208,D$4,FALSE))</f>
        <v/>
      </c>
      <c r="E16" s="37" t="str">
        <f>IF($C16="","",VLOOKUP($C16,CTBat!$G$10:$BR$208,E$4,FALSE))</f>
        <v/>
      </c>
      <c r="F16" s="53" t="str">
        <f t="shared" si="3"/>
        <v/>
      </c>
      <c r="G16" s="288" t="str">
        <f t="shared" si="4"/>
        <v/>
      </c>
      <c r="H16" s="288" t="str">
        <f t="shared" si="5"/>
        <v/>
      </c>
      <c r="I16" s="288" t="str">
        <f t="shared" si="24"/>
        <v/>
      </c>
      <c r="J16" s="58" t="str">
        <f>IF($C16="","",VLOOKUP($C16,CTBat!$G$10:$BR$208,J$4,FALSE))</f>
        <v/>
      </c>
      <c r="K16" s="37" t="str">
        <f>IF($C16="","",VLOOKUP($C16,CTBat!$G$10:$BR$208,K$4,FALSE))</f>
        <v/>
      </c>
      <c r="L16" s="38" t="str">
        <f>IF($C16="","",VLOOKUP($C16,CTBat!$G$10:$BR$208,L$4,FALSE))</f>
        <v/>
      </c>
      <c r="M16" s="37" t="str">
        <f>IF($C16="","",VLOOKUP($C16,CTBat!$G$10:$BR$208,M$4,FALSE))</f>
        <v/>
      </c>
      <c r="N16" s="37" t="str">
        <f>IF($C16="","",VLOOKUP($C16,CTBat!$G$10:$BR$208,N$4,FALSE))</f>
        <v/>
      </c>
      <c r="O16" s="37" t="str">
        <f>IF($C16="","",VLOOKUP($C16,CTBat!$G$10:$BR$208,O$4,FALSE))</f>
        <v/>
      </c>
      <c r="P16" s="37" t="str">
        <f>IF($C16="","",VLOOKUP($C16,CTBat!$G$10:$BR$208,P$4,FALSE))</f>
        <v/>
      </c>
      <c r="Q16" s="37" t="str">
        <f>IF($C16="","",VLOOKUP($C16,CTBat!$G$10:$BR$208,Q$4,FALSE))</f>
        <v/>
      </c>
      <c r="R16" s="37" t="str">
        <f>IF($C16="","",VLOOKUP($C16,CTBat!$G$10:$BR$208,R$4,FALSE))</f>
        <v/>
      </c>
      <c r="S16" s="37" t="str">
        <f>IF($C16="","",VLOOKUP($C16,CTBat!$G$10:$BR$208,S$4,FALSE))</f>
        <v/>
      </c>
      <c r="T16" s="38" t="str">
        <f>IF($C16="","",VLOOKUP($C16,CTBat!$G$10:$BR$208,T$4,FALSE))</f>
        <v/>
      </c>
      <c r="U16" s="53" t="str">
        <f t="shared" si="1"/>
        <v/>
      </c>
      <c r="V16" s="288" t="str">
        <f t="shared" si="2"/>
        <v/>
      </c>
      <c r="W16" s="288" t="str">
        <f t="shared" si="6"/>
        <v/>
      </c>
      <c r="X16" s="288" t="str">
        <f t="shared" si="7"/>
        <v/>
      </c>
      <c r="Y16" s="288" t="str">
        <f t="shared" si="8"/>
        <v/>
      </c>
      <c r="Z16" s="288" t="str">
        <f t="shared" si="9"/>
        <v/>
      </c>
      <c r="AA16" s="288" t="str">
        <f t="shared" si="10"/>
        <v/>
      </c>
      <c r="AB16" s="288" t="str">
        <f t="shared" si="11"/>
        <v/>
      </c>
      <c r="AC16" s="289" t="str">
        <f t="shared" si="12"/>
        <v/>
      </c>
      <c r="AD16" s="37" t="str">
        <f>IF($C16="","",VLOOKUP($C16,CTBat!$G$10:$BR$208,AD$4,FALSE))</f>
        <v/>
      </c>
      <c r="AE16" s="37" t="str">
        <f>IF($C16="","",VLOOKUP($C16,CTBat!$G$10:$BR$208,AE$4,FALSE))</f>
        <v/>
      </c>
      <c r="AF16" s="37" t="str">
        <f>IF($C16="","",VLOOKUP($C16,CTBat!$G$10:$BR$208,AF$4,FALSE))</f>
        <v/>
      </c>
      <c r="AG16" s="37" t="str">
        <f>IF($C16="","",VLOOKUP($C16,CTBat!$G$10:$BR$208,AG$4,FALSE))</f>
        <v/>
      </c>
      <c r="AH16" s="37" t="str">
        <f>IF($C16="","",VLOOKUP($C16,CTBat!$G$10:$BR$208,AH$4,FALSE))</f>
        <v/>
      </c>
      <c r="AI16" s="58" t="str">
        <f>IF($C16="","",VLOOKUP($C16,CTBat!$G$10:$BR$208,AI$4,FALSE))</f>
        <v/>
      </c>
      <c r="AJ16" s="38" t="str">
        <f>IF($C16="","",VLOOKUP($C16,CTBat!$G$10:$BR$208,AJ$4,FALSE))</f>
        <v/>
      </c>
      <c r="AK16" s="67" t="str">
        <f t="shared" si="13"/>
        <v/>
      </c>
      <c r="AL16" s="53" t="str">
        <f t="shared" si="14"/>
        <v/>
      </c>
      <c r="AM16" s="288" t="str">
        <f t="shared" si="15"/>
        <v/>
      </c>
      <c r="AN16" s="288" t="str">
        <f t="shared" si="16"/>
        <v/>
      </c>
      <c r="AO16" s="288" t="str">
        <f t="shared" si="17"/>
        <v/>
      </c>
      <c r="AP16" s="288" t="str">
        <f t="shared" si="18"/>
        <v/>
      </c>
      <c r="AQ16" s="288" t="str">
        <f t="shared" si="19"/>
        <v/>
      </c>
      <c r="AR16" s="288" t="str">
        <f t="shared" si="20"/>
        <v/>
      </c>
      <c r="AS16" s="288" t="str">
        <f t="shared" si="21"/>
        <v/>
      </c>
      <c r="AT16" s="289" t="str">
        <f t="shared" si="22"/>
        <v/>
      </c>
      <c r="AU16" s="58" t="str">
        <f>IF($C16="","",VLOOKUP($C16,CTBat!$G$10:$BR$208,AU$4,FALSE))</f>
        <v/>
      </c>
      <c r="AV16" s="37" t="str">
        <f>IF($C16="","",VLOOKUP($C16,CTBat!$G$10:$BR$208,AV$4,FALSE))</f>
        <v/>
      </c>
      <c r="AW16" s="37" t="str">
        <f>IF($C16="","",VLOOKUP($C16,CTBat!$G$10:$BR$208,AW$4,FALSE))</f>
        <v/>
      </c>
      <c r="AX16" s="37" t="str">
        <f>IF($C16="","",VLOOKUP($C16,CTBat!$G$10:$BR$208,AX$4,FALSE))</f>
        <v/>
      </c>
      <c r="AY16" s="38" t="str">
        <f>IF($C16="","",VLOOKUP($C16,CTBat!$G$10:$BR$208,AY$4,FALSE))</f>
        <v/>
      </c>
      <c r="AZ16" s="67" t="str">
        <f t="shared" si="23"/>
        <v/>
      </c>
    </row>
    <row r="17" spans="1:52">
      <c r="A17">
        <v>10</v>
      </c>
      <c r="B17" s="39" t="s">
        <v>104</v>
      </c>
      <c r="C17" s="40"/>
      <c r="D17" s="40" t="str">
        <f>IF($C17="","",VLOOKUP($C17,CTBat!$G$10:$BR$208,D$4,FALSE))</f>
        <v/>
      </c>
      <c r="E17" s="40" t="str">
        <f>IF($C17="","",VLOOKUP($C17,CTBat!$G$10:$BR$208,E$4,FALSE))</f>
        <v/>
      </c>
      <c r="F17" s="54" t="str">
        <f t="shared" si="3"/>
        <v/>
      </c>
      <c r="G17" s="286" t="str">
        <f t="shared" si="4"/>
        <v/>
      </c>
      <c r="H17" s="286" t="str">
        <f t="shared" si="5"/>
        <v/>
      </c>
      <c r="I17" s="286" t="str">
        <f t="shared" si="24"/>
        <v/>
      </c>
      <c r="J17" s="59" t="str">
        <f>IF($C17="","",VLOOKUP($C17,CTBat!$G$10:$BR$208,J$4,FALSE))</f>
        <v/>
      </c>
      <c r="K17" s="40" t="str">
        <f>IF($C17="","",VLOOKUP($C17,CTBat!$G$10:$BR$208,K$4,FALSE))</f>
        <v/>
      </c>
      <c r="L17" s="42" t="str">
        <f>IF($C17="","",VLOOKUP($C17,CTBat!$G$10:$BR$208,L$4,FALSE))</f>
        <v/>
      </c>
      <c r="M17" s="40" t="str">
        <f>IF($C17="","",VLOOKUP($C17,CTBat!$G$10:$BR$208,M$4,FALSE))</f>
        <v/>
      </c>
      <c r="N17" s="40" t="str">
        <f>IF($C17="","",VLOOKUP($C17,CTBat!$G$10:$BR$208,N$4,FALSE))</f>
        <v/>
      </c>
      <c r="O17" s="40" t="str">
        <f>IF($C17="","",VLOOKUP($C17,CTBat!$G$10:$BR$208,O$4,FALSE))</f>
        <v/>
      </c>
      <c r="P17" s="40" t="str">
        <f>IF($C17="","",VLOOKUP($C17,CTBat!$G$10:$BR$208,P$4,FALSE))</f>
        <v/>
      </c>
      <c r="Q17" s="40" t="str">
        <f>IF($C17="","",VLOOKUP($C17,CTBat!$G$10:$BR$208,Q$4,FALSE))</f>
        <v/>
      </c>
      <c r="R17" s="40" t="str">
        <f>IF($C17="","",VLOOKUP($C17,CTBat!$G$10:$BR$208,R$4,FALSE))</f>
        <v/>
      </c>
      <c r="S17" s="40" t="str">
        <f>IF($C17="","",VLOOKUP($C17,CTBat!$G$10:$BR$208,S$4,FALSE))</f>
        <v/>
      </c>
      <c r="T17" s="42" t="str">
        <f>IF($C17="","",VLOOKUP($C17,CTBat!$G$10:$BR$208,T$4,FALSE))</f>
        <v/>
      </c>
      <c r="U17" s="54" t="str">
        <f t="shared" si="1"/>
        <v/>
      </c>
      <c r="V17" s="286" t="str">
        <f t="shared" si="2"/>
        <v/>
      </c>
      <c r="W17" s="286" t="str">
        <f t="shared" si="6"/>
        <v/>
      </c>
      <c r="X17" s="286" t="str">
        <f t="shared" si="7"/>
        <v/>
      </c>
      <c r="Y17" s="286" t="str">
        <f t="shared" si="8"/>
        <v/>
      </c>
      <c r="Z17" s="286" t="str">
        <f t="shared" si="9"/>
        <v/>
      </c>
      <c r="AA17" s="286" t="str">
        <f t="shared" si="10"/>
        <v/>
      </c>
      <c r="AB17" s="286" t="str">
        <f t="shared" si="11"/>
        <v/>
      </c>
      <c r="AC17" s="287" t="str">
        <f t="shared" si="12"/>
        <v/>
      </c>
      <c r="AD17" s="40" t="str">
        <f>IF($C17="","",VLOOKUP($C17,CTBat!$G$10:$BR$208,AD$4,FALSE))</f>
        <v/>
      </c>
      <c r="AE17" s="40" t="str">
        <f>IF($C17="","",VLOOKUP($C17,CTBat!$G$10:$BR$208,AE$4,FALSE))</f>
        <v/>
      </c>
      <c r="AF17" s="40" t="str">
        <f>IF($C17="","",VLOOKUP($C17,CTBat!$G$10:$BR$208,AF$4,FALSE))</f>
        <v/>
      </c>
      <c r="AG17" s="40" t="str">
        <f>IF($C17="","",VLOOKUP($C17,CTBat!$G$10:$BR$208,AG$4,FALSE))</f>
        <v/>
      </c>
      <c r="AH17" s="40" t="str">
        <f>IF($C17="","",VLOOKUP($C17,CTBat!$G$10:$BR$208,AH$4,FALSE))</f>
        <v/>
      </c>
      <c r="AI17" s="59" t="str">
        <f>IF($C17="","",VLOOKUP($C17,CTBat!$G$10:$BR$208,AI$4,FALSE))</f>
        <v/>
      </c>
      <c r="AJ17" s="42" t="str">
        <f>IF($C17="","",VLOOKUP($C17,CTBat!$G$10:$BR$208,AJ$4,FALSE))</f>
        <v/>
      </c>
      <c r="AK17" s="68" t="str">
        <f t="shared" si="13"/>
        <v/>
      </c>
      <c r="AL17" s="54" t="str">
        <f t="shared" si="14"/>
        <v/>
      </c>
      <c r="AM17" s="286" t="str">
        <f t="shared" si="15"/>
        <v/>
      </c>
      <c r="AN17" s="286" t="str">
        <f t="shared" si="16"/>
        <v/>
      </c>
      <c r="AO17" s="286" t="str">
        <f t="shared" si="17"/>
        <v/>
      </c>
      <c r="AP17" s="286" t="str">
        <f t="shared" si="18"/>
        <v/>
      </c>
      <c r="AQ17" s="286" t="str">
        <f t="shared" si="19"/>
        <v/>
      </c>
      <c r="AR17" s="286" t="str">
        <f t="shared" si="20"/>
        <v/>
      </c>
      <c r="AS17" s="286" t="str">
        <f t="shared" si="21"/>
        <v/>
      </c>
      <c r="AT17" s="287" t="str">
        <f t="shared" si="22"/>
        <v/>
      </c>
      <c r="AU17" s="59" t="str">
        <f>IF($C17="","",VLOOKUP($C17,CTBat!$G$10:$BR$208,AU$4,FALSE))</f>
        <v/>
      </c>
      <c r="AV17" s="40" t="str">
        <f>IF($C17="","",VLOOKUP($C17,CTBat!$G$10:$BR$208,AV$4,FALSE))</f>
        <v/>
      </c>
      <c r="AW17" s="40" t="str">
        <f>IF($C17="","",VLOOKUP($C17,CTBat!$G$10:$BR$208,AW$4,FALSE))</f>
        <v/>
      </c>
      <c r="AX17" s="40" t="str">
        <f>IF($C17="","",VLOOKUP($C17,CTBat!$G$10:$BR$208,AX$4,FALSE))</f>
        <v/>
      </c>
      <c r="AY17" s="42" t="str">
        <f>IF($C17="","",VLOOKUP($C17,CTBat!$G$10:$BR$208,AY$4,FALSE))</f>
        <v/>
      </c>
      <c r="AZ17" s="68" t="str">
        <f t="shared" si="23"/>
        <v/>
      </c>
    </row>
    <row r="19" spans="1:52" s="24" customFormat="1" ht="196.5">
      <c r="A19" s="25" t="s">
        <v>196</v>
      </c>
      <c r="B19" s="283" t="s">
        <v>128</v>
      </c>
      <c r="C19" s="44" t="str">
        <f>"Player ("&amp;COUNTA(C20:C27)&amp;")"</f>
        <v>Player (4)</v>
      </c>
      <c r="D19" s="44" t="s">
        <v>94</v>
      </c>
      <c r="E19" s="44" t="s">
        <v>104</v>
      </c>
      <c r="F19" s="51" t="str">
        <f>"Only 1 guy who only plays 2B ("&amp;SUM(F20:F27)&amp;")"</f>
        <v>Only 1 guy who only plays 2B (0)</v>
      </c>
      <c r="G19" s="46" t="str">
        <f>"2 Guys Who Play SS ("&amp;SUM(G20:G27)&amp;")"</f>
        <v>2 Guys Who Play SS (4)</v>
      </c>
      <c r="H19" s="46" t="str">
        <f>"2 guys with 3B arm ("&amp;SUM(H20:H27)&amp;")"</f>
        <v>2 guys with 3B arm (3)</v>
      </c>
      <c r="I19" s="49" t="s">
        <v>41</v>
      </c>
      <c r="J19" s="47" t="s">
        <v>139</v>
      </c>
      <c r="K19" s="47" t="s">
        <v>137</v>
      </c>
      <c r="L19" s="47" t="s">
        <v>138</v>
      </c>
      <c r="M19" s="63" t="s">
        <v>95</v>
      </c>
      <c r="N19" s="48" t="s">
        <v>97</v>
      </c>
      <c r="O19" s="48" t="s">
        <v>98</v>
      </c>
      <c r="P19" s="48" t="s">
        <v>99</v>
      </c>
      <c r="Q19" s="48" t="s">
        <v>100</v>
      </c>
      <c r="R19" s="48" t="s">
        <v>101</v>
      </c>
      <c r="S19" s="48" t="s">
        <v>102</v>
      </c>
      <c r="T19" s="49" t="s">
        <v>103</v>
      </c>
      <c r="U19" s="45" t="s">
        <v>140</v>
      </c>
      <c r="V19" s="45" t="s">
        <v>184</v>
      </c>
      <c r="W19" s="45" t="s">
        <v>141</v>
      </c>
      <c r="X19" s="45" t="s">
        <v>142</v>
      </c>
      <c r="Y19" s="45" t="s">
        <v>143</v>
      </c>
      <c r="Z19" s="45" t="s">
        <v>144</v>
      </c>
      <c r="AA19" s="45" t="s">
        <v>145</v>
      </c>
      <c r="AB19" s="45" t="s">
        <v>147</v>
      </c>
      <c r="AC19" s="45" t="s">
        <v>146</v>
      </c>
      <c r="AD19" s="63" t="s">
        <v>150</v>
      </c>
      <c r="AE19" s="48" t="s">
        <v>151</v>
      </c>
      <c r="AF19" s="48" t="s">
        <v>152</v>
      </c>
      <c r="AG19" s="48" t="s">
        <v>153</v>
      </c>
      <c r="AH19" s="48" t="s">
        <v>29</v>
      </c>
      <c r="AI19" s="48" t="s">
        <v>154</v>
      </c>
      <c r="AJ19" s="49" t="s">
        <v>155</v>
      </c>
      <c r="AK19" s="66" t="s">
        <v>160</v>
      </c>
      <c r="AL19" s="45" t="s">
        <v>140</v>
      </c>
      <c r="AM19" s="45" t="s">
        <v>184</v>
      </c>
      <c r="AN19" s="45" t="s">
        <v>141</v>
      </c>
      <c r="AO19" s="45" t="s">
        <v>142</v>
      </c>
      <c r="AP19" s="45" t="s">
        <v>143</v>
      </c>
      <c r="AQ19" s="45" t="s">
        <v>144</v>
      </c>
      <c r="AR19" s="45" t="s">
        <v>145</v>
      </c>
      <c r="AS19" s="45" t="s">
        <v>147</v>
      </c>
      <c r="AT19" s="45" t="s">
        <v>146</v>
      </c>
      <c r="AU19" s="63" t="s">
        <v>150</v>
      </c>
      <c r="AV19" s="48" t="s">
        <v>151</v>
      </c>
      <c r="AW19" s="48" t="s">
        <v>152</v>
      </c>
      <c r="AX19" s="48" t="s">
        <v>153</v>
      </c>
      <c r="AY19" s="49" t="s">
        <v>29</v>
      </c>
      <c r="AZ19" s="66" t="s">
        <v>201</v>
      </c>
    </row>
    <row r="20" spans="1:52">
      <c r="A20">
        <v>1</v>
      </c>
      <c r="B20" s="36" t="s">
        <v>98</v>
      </c>
      <c r="C20" s="37" t="s">
        <v>466</v>
      </c>
      <c r="D20" s="37">
        <f>IF($C20="","",VLOOKUP($C20,CTBat!$G$10:$BR$208,D$4,FALSE))</f>
        <v>24</v>
      </c>
      <c r="E20" s="33" t="str">
        <f>IF($C20="","",VLOOKUP($C20,CTBat!$G$10:$BR$208,E$4,FALSE))</f>
        <v>R</v>
      </c>
      <c r="F20" s="53">
        <f>IF($C20="","",IF(AND(O20&gt;0,O20=SUM(M20:T20)),1,0))</f>
        <v>0</v>
      </c>
      <c r="G20" s="288">
        <f t="shared" ref="G20:G26" si="25">IF($C20="","",IF(Q20&lt;&gt;"-",1,0))</f>
        <v>1</v>
      </c>
      <c r="H20" s="288">
        <f>IF($C20="","",IF(AND(K20&gt;5,P20&lt;&gt;"-"),1,0))</f>
        <v>1</v>
      </c>
      <c r="I20" s="289" t="str">
        <f>IF($C20="","","-")</f>
        <v>-</v>
      </c>
      <c r="J20" s="37">
        <f>IF($C20="","",VLOOKUP($C20,CTBat!$G$10:$BR$208,J$4,FALSE))</f>
        <v>1</v>
      </c>
      <c r="K20" s="37">
        <f>IF($C20="","",VLOOKUP($C20,CTBat!$G$10:$BR$208,K$4,FALSE))</f>
        <v>10</v>
      </c>
      <c r="L20" s="37">
        <f>IF($C20="","",VLOOKUP($C20,CTBat!$G$10:$BR$208,L$4,FALSE))</f>
        <v>2</v>
      </c>
      <c r="M20" s="58" t="str">
        <f>IF($C20="","",VLOOKUP($C20,CTBat!$G$10:$BR$208,M$4,FALSE))</f>
        <v>-</v>
      </c>
      <c r="N20" s="37">
        <f>IF($C20="","",VLOOKUP($C20,CTBat!$G$10:$BR$208,N$4,FALSE))</f>
        <v>10</v>
      </c>
      <c r="O20" s="37">
        <f>IF($C20="","",VLOOKUP($C20,CTBat!$G$10:$BR$208,O$4,FALSE))</f>
        <v>7</v>
      </c>
      <c r="P20" s="37">
        <f>IF($C20="","",VLOOKUP($C20,CTBat!$G$10:$BR$208,P$4,FALSE))</f>
        <v>6</v>
      </c>
      <c r="Q20" s="37">
        <f>IF($C20="","",VLOOKUP($C20,CTBat!$G$10:$BR$208,Q$4,FALSE))</f>
        <v>5</v>
      </c>
      <c r="R20" s="37" t="str">
        <f>IF($C20="","",VLOOKUP($C20,CTBat!$G$10:$BR$208,R$4,FALSE))</f>
        <v>-</v>
      </c>
      <c r="S20" s="37" t="str">
        <f>IF($C20="","",VLOOKUP($C20,CTBat!$G$10:$BR$208,S$4,FALSE))</f>
        <v>-</v>
      </c>
      <c r="T20" s="38" t="str">
        <f>IF($C20="","",VLOOKUP($C20,CTBat!$G$10:$BR$208,T$4,FALSE))</f>
        <v>-</v>
      </c>
      <c r="U20" s="288">
        <f t="shared" ref="U20:U21" si="26">IF($C20="","",IF(OR(AD20+AG20&gt;14,AND(OR(AD20+AG20&gt;12,AND(AD20&gt;6,AG20&gt;6)),AI20&gt;6,OR(AJ20&gt;=AI20,AJ20&gt;6))),1,0))</f>
        <v>0</v>
      </c>
      <c r="V20" s="288">
        <f t="shared" ref="V20:V27" si="27">IF($C20="","",IF(OR(AND(AD20&gt;6,AH20&gt;6),AD20+AG20&gt;12),1,0))</f>
        <v>0</v>
      </c>
      <c r="W20" s="288">
        <f>IF($C20="","",IF(AND(AD20&gt;6,AF20&gt;6,AG20&gt;6),1,0))</f>
        <v>0</v>
      </c>
      <c r="X20" s="288">
        <f t="shared" ref="X20:X27" si="28">IF($C20="","",IF(AND(AF20&gt;7,OR(AD20&gt;6,AG20&gt;6)),1,0))</f>
        <v>0</v>
      </c>
      <c r="Y20" s="288">
        <f t="shared" ref="Y20:Y27" si="29">IF($C20="","",IF(AND(AF20&gt;6,OR(AD20&gt;6,AG20&gt;6)),1,0))</f>
        <v>0</v>
      </c>
      <c r="Z20" s="288">
        <f t="shared" ref="Z20:Z27" si="30">IF($C20="","",IF(AND(OR(AD20&gt;6,AF20&gt;6),OR(AD20&gt;6,AG20&gt;6)),1,0))</f>
        <v>0</v>
      </c>
      <c r="AA20" s="288">
        <f t="shared" ref="AA20:AA27" si="31">IF($C20="","",IF(AND(AD20&gt;4,OR(AD20&gt;6,AF20&gt;6,AG20&gt;6)),1,0))</f>
        <v>0</v>
      </c>
      <c r="AB20" s="288">
        <f t="shared" ref="AB20:AB27" si="32">IF($C20="","",IF(AND(AD20&gt;4,OR(AD20&gt;6,AE20&gt;6,AF20&gt;6,AG20&gt;6)),1,0))</f>
        <v>0</v>
      </c>
      <c r="AC20" s="288">
        <f t="shared" ref="AC20:AC27" si="33">IF($C20="","",IF(AND(AD20&gt;4,MAX(AD20:AH20)&gt;6),1,0))</f>
        <v>0</v>
      </c>
      <c r="AD20" s="58">
        <f>IF($C20="","",VLOOKUP($C20,CTBat!$G$10:$BR$208,AD$4,FALSE))</f>
        <v>5</v>
      </c>
      <c r="AE20" s="37">
        <f>IF($C20="","",VLOOKUP($C20,CTBat!$G$10:$BR$208,AE$4,FALSE))</f>
        <v>5</v>
      </c>
      <c r="AF20" s="37">
        <f>IF($C20="","",VLOOKUP($C20,CTBat!$G$10:$BR$208,AF$4,FALSE))</f>
        <v>3</v>
      </c>
      <c r="AG20" s="37">
        <f>IF($C20="","",VLOOKUP($C20,CTBat!$G$10:$BR$208,AG$4,FALSE))</f>
        <v>3</v>
      </c>
      <c r="AH20" s="37">
        <f>IF($C20="","",VLOOKUP($C20,CTBat!$G$10:$BR$208,AH$4,FALSE))</f>
        <v>4</v>
      </c>
      <c r="AI20" s="37">
        <f>IF($C20="","",VLOOKUP($C20,CTBat!$G$10:$BR$208,AI$4,FALSE))</f>
        <v>4</v>
      </c>
      <c r="AJ20" s="38">
        <f>IF($C20="","",VLOOKUP($C20,CTBat!$G$10:$BR$208,AJ$4,FALSE))</f>
        <v>5</v>
      </c>
      <c r="AK20" s="67">
        <f>IF($C20="","",(5*AD20+4*AF20+3*AG20+2*AE20+1*AH20+0.5*(AVERAGE(AD20:AE20))+0.5*AVERAGE(AD20,AH20)+1*(AVERAGE(AD20,AF20))+1*AVERAGE(AD20,AG20))/(5+4+3+2+1+0.5+0.5+1+1))</f>
        <v>4.041666666666667</v>
      </c>
      <c r="AL20" s="288">
        <f t="shared" ref="AL20:AL27" si="34">IF($C20="","",IF(AND(OR(AU20+AX20&gt;12,AND(AU20&gt;6,AX20&gt;6)),AI20&gt;6,OR(AJ20&gt;=AI20,AJ20&gt;6)),1,0))</f>
        <v>0</v>
      </c>
      <c r="AM20" s="288">
        <f t="shared" ref="AM20:AM27" si="35">IF($C20="","",IF(OR(AND(AU20&gt;6,AY20&gt;6),AU20+AX20&gt;12),1,0))</f>
        <v>0</v>
      </c>
      <c r="AN20" s="288">
        <f t="shared" ref="AN20:AN27" si="36">IF($C20="","",IF(AND(AU20&gt;6,AW20&gt;6,AX20&gt;6),1,0))</f>
        <v>0</v>
      </c>
      <c r="AO20" s="288">
        <f t="shared" ref="AO20:AO27" si="37">IF($C20="","",IF(AND(AW20&gt;7,OR(AU20&gt;6,AX20&gt;6)),1,0))</f>
        <v>0</v>
      </c>
      <c r="AP20" s="288">
        <f t="shared" ref="AP20:AP27" si="38">IF($C20="","",IF(AND(AW20&gt;6,OR(AU20&gt;6,AX20&gt;6)),1,0))</f>
        <v>0</v>
      </c>
      <c r="AQ20" s="288">
        <f t="shared" ref="AQ20:AQ27" si="39">IF($C20="","",IF(AND(OR(AU20&gt;6,AW20&gt;6),OR(AU20&gt;6,AX20&gt;6)),1,0))</f>
        <v>0</v>
      </c>
      <c r="AR20" s="288">
        <f t="shared" ref="AR20:AR27" si="40">IF($C20="","",IF(AND(AU20&gt;4,OR(AU20&gt;6,AW20&gt;6,AX20&gt;6)),1,0))</f>
        <v>0</v>
      </c>
      <c r="AS20" s="288">
        <f t="shared" ref="AS20:AS27" si="41">IF($C20="","",IF(AND(AU20&gt;4,OR(AU20&gt;6,AV20&gt;6,AW20&gt;6,AX20&gt;6)),1,0))</f>
        <v>0</v>
      </c>
      <c r="AT20" s="288">
        <f t="shared" ref="AT20:AT27" si="42">IF($C20="","",IF(AND(AU20&gt;4,MAX(AU20:AY20)&gt;6),1,0))</f>
        <v>0</v>
      </c>
      <c r="AU20" s="58">
        <f>IF($C20="","",VLOOKUP($C20,CTBat!$G$10:$BR$208,AU$4,FALSE))</f>
        <v>5</v>
      </c>
      <c r="AV20" s="37">
        <f>IF($C20="","",VLOOKUP($C20,CTBat!$G$10:$BR$208,AV$4,FALSE))</f>
        <v>5</v>
      </c>
      <c r="AW20" s="37">
        <f>IF($C20="","",VLOOKUP($C20,CTBat!$G$10:$BR$208,AW$4,FALSE))</f>
        <v>3</v>
      </c>
      <c r="AX20" s="37">
        <f>IF($C20="","",VLOOKUP($C20,CTBat!$G$10:$BR$208,AX$4,FALSE))</f>
        <v>4</v>
      </c>
      <c r="AY20" s="38">
        <f>IF($C20="","",VLOOKUP($C20,CTBat!$G$10:$BR$208,AY$4,FALSE))</f>
        <v>5</v>
      </c>
      <c r="AZ20" s="67">
        <f t="shared" ref="AZ20:AZ27" si="43">IF($C20="","",(5*AU20+4*AW20+3*AX20+2*AV20+1*AY20+0.5*(AVERAGE(AU20:AV20))+0.5*AVERAGE(AU20,AY20)+1*(AVERAGE(AU20,AW20))+1*AVERAGE(AU20,AX20))/(5+4+3+2+1+0.5+0.5+1+1))</f>
        <v>4.3055555555555554</v>
      </c>
    </row>
    <row r="21" spans="1:52">
      <c r="A21">
        <v>2</v>
      </c>
      <c r="B21" s="36" t="s">
        <v>99</v>
      </c>
      <c r="C21" s="37" t="s">
        <v>501</v>
      </c>
      <c r="D21" s="37">
        <f>IF($C21="","",VLOOKUP($C21,CTBat!$G$10:$BR$208,D$4,FALSE))</f>
        <v>22</v>
      </c>
      <c r="E21" s="37" t="str">
        <f>IF($C21="","",VLOOKUP($C21,CTBat!$G$10:$BR$208,E$4,FALSE))</f>
        <v>R</v>
      </c>
      <c r="F21" s="53">
        <f t="shared" ref="F21:F27" si="44">IF($C21="","",IF(AND(O21&gt;0,O21=SUM(M21:T21)),1,0))</f>
        <v>0</v>
      </c>
      <c r="G21" s="288">
        <f t="shared" si="25"/>
        <v>1</v>
      </c>
      <c r="H21" s="288">
        <f>IF($C21="","",IF(AND(K21&gt;5,P21&lt;&gt;"-"),1,0))</f>
        <v>1</v>
      </c>
      <c r="I21" s="289" t="str">
        <f t="shared" ref="I21:I27" si="45">IF($C21="","","-")</f>
        <v>-</v>
      </c>
      <c r="J21" s="37">
        <f>IF($C21="","",VLOOKUP($C21,CTBat!$G$10:$BR$208,J$4,FALSE))</f>
        <v>1</v>
      </c>
      <c r="K21" s="37">
        <f>IF($C21="","",VLOOKUP($C21,CTBat!$G$10:$BR$208,K$4,FALSE))</f>
        <v>9</v>
      </c>
      <c r="L21" s="37">
        <f>IF($C21="","",VLOOKUP($C21,CTBat!$G$10:$BR$208,L$4,FALSE))</f>
        <v>8</v>
      </c>
      <c r="M21" s="58" t="str">
        <f>IF($C21="","",VLOOKUP($C21,CTBat!$G$10:$BR$208,M$4,FALSE))</f>
        <v>-</v>
      </c>
      <c r="N21" s="37">
        <f>IF($C21="","",VLOOKUP($C21,CTBat!$G$10:$BR$208,N$4,FALSE))</f>
        <v>6</v>
      </c>
      <c r="O21" s="37">
        <f>IF($C21="","",VLOOKUP($C21,CTBat!$G$10:$BR$208,O$4,FALSE))</f>
        <v>5</v>
      </c>
      <c r="P21" s="37">
        <f>IF($C21="","",VLOOKUP($C21,CTBat!$G$10:$BR$208,P$4,FALSE))</f>
        <v>8</v>
      </c>
      <c r="Q21" s="37">
        <f>IF($C21="","",VLOOKUP($C21,CTBat!$G$10:$BR$208,Q$4,FALSE))</f>
        <v>4</v>
      </c>
      <c r="R21" s="37">
        <f>IF($C21="","",VLOOKUP($C21,CTBat!$G$10:$BR$208,R$4,FALSE))</f>
        <v>6</v>
      </c>
      <c r="S21" s="37">
        <f>IF($C21="","",VLOOKUP($C21,CTBat!$G$10:$BR$208,S$4,FALSE))</f>
        <v>3</v>
      </c>
      <c r="T21" s="38" t="str">
        <f>IF($C21="","",VLOOKUP($C21,CTBat!$G$10:$BR$208,T$4,FALSE))</f>
        <v>-</v>
      </c>
      <c r="U21" s="288">
        <f t="shared" si="26"/>
        <v>0</v>
      </c>
      <c r="V21" s="288">
        <f t="shared" si="27"/>
        <v>0</v>
      </c>
      <c r="W21" s="288">
        <f t="shared" ref="W21:W27" si="46">IF($C21="","",IF(AND(AD21&gt;6,AF21&gt;6,AG21&gt;6),1,0))</f>
        <v>0</v>
      </c>
      <c r="X21" s="288">
        <f t="shared" si="28"/>
        <v>0</v>
      </c>
      <c r="Y21" s="288">
        <f t="shared" si="29"/>
        <v>0</v>
      </c>
      <c r="Z21" s="288">
        <f t="shared" si="30"/>
        <v>0</v>
      </c>
      <c r="AA21" s="288">
        <f t="shared" si="31"/>
        <v>0</v>
      </c>
      <c r="AB21" s="288">
        <f t="shared" si="32"/>
        <v>0</v>
      </c>
      <c r="AC21" s="288">
        <f t="shared" si="33"/>
        <v>0</v>
      </c>
      <c r="AD21" s="58">
        <f>IF($C21="","",VLOOKUP($C21,CTBat!$G$10:$BR$208,AD$4,FALSE))</f>
        <v>5</v>
      </c>
      <c r="AE21" s="37">
        <f>IF($C21="","",VLOOKUP($C21,CTBat!$G$10:$BR$208,AE$4,FALSE))</f>
        <v>4</v>
      </c>
      <c r="AF21" s="37">
        <f>IF($C21="","",VLOOKUP($C21,CTBat!$G$10:$BR$208,AF$4,FALSE))</f>
        <v>3</v>
      </c>
      <c r="AG21" s="37">
        <f>IF($C21="","",VLOOKUP($C21,CTBat!$G$10:$BR$208,AG$4,FALSE))</f>
        <v>4</v>
      </c>
      <c r="AH21" s="37">
        <f>IF($C21="","",VLOOKUP($C21,CTBat!$G$10:$BR$208,AH$4,FALSE))</f>
        <v>3</v>
      </c>
      <c r="AI21" s="37">
        <f>IF($C21="","",VLOOKUP($C21,CTBat!$G$10:$BR$208,AI$4,FALSE))</f>
        <v>8</v>
      </c>
      <c r="AJ21" s="38">
        <f>IF($C21="","",VLOOKUP($C21,CTBat!$G$10:$BR$208,AJ$4,FALSE))</f>
        <v>9</v>
      </c>
      <c r="AK21" s="67">
        <f t="shared" ref="AK21:AK27" si="47">IF($C21="","",(5*AD21+4*AF21+3*AG21+2*AE21+1*AH21+0.5*(AVERAGE(AD21:AE21))+0.5*AVERAGE(AD21,AH21)+1*(AVERAGE(AD21,AF21))+1*AVERAGE(AD21,AG21))/(5+4+3+2+1+0.5+0.5+1+1))</f>
        <v>4.041666666666667</v>
      </c>
      <c r="AL21" s="288">
        <f t="shared" si="34"/>
        <v>0</v>
      </c>
      <c r="AM21" s="288">
        <f t="shared" si="35"/>
        <v>0</v>
      </c>
      <c r="AN21" s="288">
        <f t="shared" si="36"/>
        <v>0</v>
      </c>
      <c r="AO21" s="288">
        <f t="shared" si="37"/>
        <v>0</v>
      </c>
      <c r="AP21" s="288">
        <f t="shared" si="38"/>
        <v>0</v>
      </c>
      <c r="AQ21" s="288">
        <f t="shared" si="39"/>
        <v>1</v>
      </c>
      <c r="AR21" s="288">
        <f t="shared" si="40"/>
        <v>1</v>
      </c>
      <c r="AS21" s="288">
        <f t="shared" si="41"/>
        <v>1</v>
      </c>
      <c r="AT21" s="288">
        <f t="shared" si="42"/>
        <v>1</v>
      </c>
      <c r="AU21" s="58">
        <f>IF($C21="","",VLOOKUP($C21,CTBat!$G$10:$BR$208,AU$4,FALSE))</f>
        <v>7</v>
      </c>
      <c r="AV21" s="37">
        <f>IF($C21="","",VLOOKUP($C21,CTBat!$G$10:$BR$208,AV$4,FALSE))</f>
        <v>6</v>
      </c>
      <c r="AW21" s="37">
        <f>IF($C21="","",VLOOKUP($C21,CTBat!$G$10:$BR$208,AW$4,FALSE))</f>
        <v>3</v>
      </c>
      <c r="AX21" s="37">
        <f>IF($C21="","",VLOOKUP($C21,CTBat!$G$10:$BR$208,AX$4,FALSE))</f>
        <v>4</v>
      </c>
      <c r="AY21" s="38">
        <f>IF($C21="","",VLOOKUP($C21,CTBat!$G$10:$BR$208,AY$4,FALSE))</f>
        <v>6</v>
      </c>
      <c r="AZ21" s="67">
        <f t="shared" si="43"/>
        <v>5.2222222222222223</v>
      </c>
    </row>
    <row r="22" spans="1:52">
      <c r="A22">
        <v>3</v>
      </c>
      <c r="B22" s="36" t="s">
        <v>100</v>
      </c>
      <c r="C22" s="37" t="s">
        <v>568</v>
      </c>
      <c r="D22" s="37">
        <f>IF($C22="","",VLOOKUP($C22,CTBat!$G$10:$BR$208,D$4,FALSE))</f>
        <v>26</v>
      </c>
      <c r="E22" s="37" t="str">
        <f>IF($C22="","",VLOOKUP($C22,CTBat!$G$10:$BR$208,E$4,FALSE))</f>
        <v>L</v>
      </c>
      <c r="F22" s="53">
        <f t="shared" si="44"/>
        <v>0</v>
      </c>
      <c r="G22" s="288">
        <f t="shared" si="25"/>
        <v>1</v>
      </c>
      <c r="H22" s="288">
        <f t="shared" ref="H22:H27" si="48">IF($C22="","",IF(AND(K22&gt;5,P22&lt;&gt;"-"),1,0))</f>
        <v>1</v>
      </c>
      <c r="I22" s="289" t="str">
        <f t="shared" si="45"/>
        <v>-</v>
      </c>
      <c r="J22" s="37">
        <f>IF($C22="","",VLOOKUP($C22,CTBat!$G$10:$BR$208,J$4,FALSE))</f>
        <v>1</v>
      </c>
      <c r="K22" s="37">
        <f>IF($C22="","",VLOOKUP($C22,CTBat!$G$10:$BR$208,K$4,FALSE))</f>
        <v>9</v>
      </c>
      <c r="L22" s="37">
        <f>IF($C22="","",VLOOKUP($C22,CTBat!$G$10:$BR$208,L$4,FALSE))</f>
        <v>2</v>
      </c>
      <c r="M22" s="58" t="str">
        <f>IF($C22="","",VLOOKUP($C22,CTBat!$G$10:$BR$208,M$4,FALSE))</f>
        <v>-</v>
      </c>
      <c r="N22" s="37">
        <f>IF($C22="","",VLOOKUP($C22,CTBat!$G$10:$BR$208,N$4,FALSE))</f>
        <v>10</v>
      </c>
      <c r="O22" s="37">
        <f>IF($C22="","",VLOOKUP($C22,CTBat!$G$10:$BR$208,O$4,FALSE))</f>
        <v>4</v>
      </c>
      <c r="P22" s="37">
        <f>IF($C22="","",VLOOKUP($C22,CTBat!$G$10:$BR$208,P$4,FALSE))</f>
        <v>9</v>
      </c>
      <c r="Q22" s="37">
        <f>IF($C22="","",VLOOKUP($C22,CTBat!$G$10:$BR$208,Q$4,FALSE))</f>
        <v>7</v>
      </c>
      <c r="R22" s="37" t="str">
        <f>IF($C22="","",VLOOKUP($C22,CTBat!$G$10:$BR$208,R$4,FALSE))</f>
        <v>-</v>
      </c>
      <c r="S22" s="37" t="str">
        <f>IF($C22="","",VLOOKUP($C22,CTBat!$G$10:$BR$208,S$4,FALSE))</f>
        <v>-</v>
      </c>
      <c r="T22" s="38" t="str">
        <f>IF($C22="","",VLOOKUP($C22,CTBat!$G$10:$BR$208,T$4,FALSE))</f>
        <v>-</v>
      </c>
      <c r="U22" s="288">
        <f>IF($C22="","",IF(OR(AD22+AG22&gt;14,AND(OR(AD22+AG22&gt;12,AND(AD22&gt;6,AG22&gt;6)),AI22&gt;6,OR(AJ22&gt;=AI22,AJ22&gt;6))),1,0))</f>
        <v>0</v>
      </c>
      <c r="V22" s="288">
        <f t="shared" si="27"/>
        <v>0</v>
      </c>
      <c r="W22" s="288">
        <f t="shared" si="46"/>
        <v>0</v>
      </c>
      <c r="X22" s="288">
        <f t="shared" si="28"/>
        <v>0</v>
      </c>
      <c r="Y22" s="288">
        <f t="shared" si="29"/>
        <v>0</v>
      </c>
      <c r="Z22" s="288">
        <f t="shared" si="30"/>
        <v>0</v>
      </c>
      <c r="AA22" s="288">
        <f t="shared" si="31"/>
        <v>1</v>
      </c>
      <c r="AB22" s="288">
        <f t="shared" si="32"/>
        <v>1</v>
      </c>
      <c r="AC22" s="288">
        <f t="shared" si="33"/>
        <v>1</v>
      </c>
      <c r="AD22" s="58">
        <f>IF($C22="","",VLOOKUP($C22,CTBat!$G$10:$BR$208,AD$4,FALSE))</f>
        <v>5</v>
      </c>
      <c r="AE22" s="37">
        <f>IF($C22="","",VLOOKUP($C22,CTBat!$G$10:$BR$208,AE$4,FALSE))</f>
        <v>6</v>
      </c>
      <c r="AF22" s="37">
        <f>IF($C22="","",VLOOKUP($C22,CTBat!$G$10:$BR$208,AF$4,FALSE))</f>
        <v>7</v>
      </c>
      <c r="AG22" s="37">
        <f>IF($C22="","",VLOOKUP($C22,CTBat!$G$10:$BR$208,AG$4,FALSE))</f>
        <v>6</v>
      </c>
      <c r="AH22" s="37">
        <f>IF($C22="","",VLOOKUP($C22,CTBat!$G$10:$BR$208,AH$4,FALSE))</f>
        <v>3</v>
      </c>
      <c r="AI22" s="37">
        <f>IF($C22="","",VLOOKUP($C22,CTBat!$G$10:$BR$208,AI$4,FALSE))</f>
        <v>3</v>
      </c>
      <c r="AJ22" s="38">
        <f>IF($C22="","",VLOOKUP($C22,CTBat!$G$10:$BR$208,AJ$4,FALSE))</f>
        <v>2</v>
      </c>
      <c r="AK22" s="67">
        <f t="shared" si="47"/>
        <v>5.6805555555555554</v>
      </c>
      <c r="AL22" s="288">
        <f t="shared" si="34"/>
        <v>0</v>
      </c>
      <c r="AM22" s="288">
        <f t="shared" si="35"/>
        <v>0</v>
      </c>
      <c r="AN22" s="288">
        <f t="shared" si="36"/>
        <v>0</v>
      </c>
      <c r="AO22" s="288">
        <f t="shared" si="37"/>
        <v>0</v>
      </c>
      <c r="AP22" s="288">
        <f t="shared" si="38"/>
        <v>0</v>
      </c>
      <c r="AQ22" s="288">
        <f t="shared" si="39"/>
        <v>0</v>
      </c>
      <c r="AR22" s="288">
        <f t="shared" si="40"/>
        <v>1</v>
      </c>
      <c r="AS22" s="288">
        <f t="shared" si="41"/>
        <v>1</v>
      </c>
      <c r="AT22" s="288">
        <f t="shared" si="42"/>
        <v>1</v>
      </c>
      <c r="AU22" s="58">
        <f>IF($C22="","",VLOOKUP($C22,CTBat!$G$10:$BR$208,AU$4,FALSE))</f>
        <v>5</v>
      </c>
      <c r="AV22" s="37">
        <f>IF($C22="","",VLOOKUP($C22,CTBat!$G$10:$BR$208,AV$4,FALSE))</f>
        <v>6</v>
      </c>
      <c r="AW22" s="37">
        <f>IF($C22="","",VLOOKUP($C22,CTBat!$G$10:$BR$208,AW$4,FALSE))</f>
        <v>7</v>
      </c>
      <c r="AX22" s="37">
        <f>IF($C22="","",VLOOKUP($C22,CTBat!$G$10:$BR$208,AX$4,FALSE))</f>
        <v>6</v>
      </c>
      <c r="AY22" s="38">
        <f>IF($C22="","",VLOOKUP($C22,CTBat!$G$10:$BR$208,AY$4,FALSE))</f>
        <v>3</v>
      </c>
      <c r="AZ22" s="67">
        <f t="shared" si="43"/>
        <v>5.6805555555555554</v>
      </c>
    </row>
    <row r="23" spans="1:52">
      <c r="A23">
        <v>4</v>
      </c>
      <c r="B23" s="36" t="s">
        <v>104</v>
      </c>
      <c r="C23" s="37" t="s">
        <v>467</v>
      </c>
      <c r="D23" s="37">
        <f>IF($C23="","",VLOOKUP($C23,CTBat!$G$10:$BR$208,D$4,FALSE))</f>
        <v>26</v>
      </c>
      <c r="E23" s="37" t="str">
        <f>IF($C23="","",VLOOKUP($C23,CTBat!$G$10:$BR$208,E$4,FALSE))</f>
        <v>R</v>
      </c>
      <c r="F23" s="53">
        <f t="shared" si="44"/>
        <v>0</v>
      </c>
      <c r="G23" s="288">
        <f t="shared" si="25"/>
        <v>1</v>
      </c>
      <c r="H23" s="288">
        <f t="shared" si="48"/>
        <v>0</v>
      </c>
      <c r="I23" s="289" t="str">
        <f t="shared" si="45"/>
        <v>-</v>
      </c>
      <c r="J23" s="37">
        <f>IF($C23="","",VLOOKUP($C23,CTBat!$G$10:$BR$208,J$4,FALSE))</f>
        <v>1</v>
      </c>
      <c r="K23" s="37">
        <f>IF($C23="","",VLOOKUP($C23,CTBat!$G$10:$BR$208,K$4,FALSE))</f>
        <v>5</v>
      </c>
      <c r="L23" s="37">
        <f>IF($C23="","",VLOOKUP($C23,CTBat!$G$10:$BR$208,L$4,FALSE))</f>
        <v>3</v>
      </c>
      <c r="M23" s="58" t="str">
        <f>IF($C23="","",VLOOKUP($C23,CTBat!$G$10:$BR$208,M$4,FALSE))</f>
        <v>-</v>
      </c>
      <c r="N23" s="37">
        <f>IF($C23="","",VLOOKUP($C23,CTBat!$G$10:$BR$208,N$4,FALSE))</f>
        <v>10</v>
      </c>
      <c r="O23" s="37">
        <f>IF($C23="","",VLOOKUP($C23,CTBat!$G$10:$BR$208,O$4,FALSE))</f>
        <v>7</v>
      </c>
      <c r="P23" s="37">
        <f>IF($C23="","",VLOOKUP($C23,CTBat!$G$10:$BR$208,P$4,FALSE))</f>
        <v>3</v>
      </c>
      <c r="Q23" s="37">
        <f>IF($C23="","",VLOOKUP($C23,CTBat!$G$10:$BR$208,Q$4,FALSE))</f>
        <v>8</v>
      </c>
      <c r="R23" s="37" t="str">
        <f>IF($C23="","",VLOOKUP($C23,CTBat!$G$10:$BR$208,R$4,FALSE))</f>
        <v>-</v>
      </c>
      <c r="S23" s="37" t="str">
        <f>IF($C23="","",VLOOKUP($C23,CTBat!$G$10:$BR$208,S$4,FALSE))</f>
        <v>-</v>
      </c>
      <c r="T23" s="38" t="str">
        <f>IF($C23="","",VLOOKUP($C23,CTBat!$G$10:$BR$208,T$4,FALSE))</f>
        <v>-</v>
      </c>
      <c r="U23" s="288">
        <f t="shared" ref="U23:U27" si="49">IF($C23="","",IF(OR(AD23+AG23&gt;14,AND(OR(AD23+AG23&gt;12,AND(AD23&gt;6,AG23&gt;6)),AI23&gt;6,OR(AJ23&gt;=AI23,AJ23&gt;6))),1,0))</f>
        <v>0</v>
      </c>
      <c r="V23" s="288">
        <f t="shared" si="27"/>
        <v>0</v>
      </c>
      <c r="W23" s="288">
        <f t="shared" si="46"/>
        <v>0</v>
      </c>
      <c r="X23" s="288">
        <f t="shared" si="28"/>
        <v>0</v>
      </c>
      <c r="Y23" s="288">
        <f t="shared" si="29"/>
        <v>0</v>
      </c>
      <c r="Z23" s="288">
        <f t="shared" si="30"/>
        <v>0</v>
      </c>
      <c r="AA23" s="288">
        <f t="shared" si="31"/>
        <v>0</v>
      </c>
      <c r="AB23" s="288">
        <f t="shared" si="32"/>
        <v>0</v>
      </c>
      <c r="AC23" s="288">
        <f t="shared" si="33"/>
        <v>0</v>
      </c>
      <c r="AD23" s="58">
        <f>IF($C23="","",VLOOKUP($C23,CTBat!$G$10:$BR$208,AD$4,FALSE))</f>
        <v>5</v>
      </c>
      <c r="AE23" s="37">
        <f>IF($C23="","",VLOOKUP($C23,CTBat!$G$10:$BR$208,AE$4,FALSE))</f>
        <v>5</v>
      </c>
      <c r="AF23" s="37">
        <f>IF($C23="","",VLOOKUP($C23,CTBat!$G$10:$BR$208,AF$4,FALSE))</f>
        <v>2</v>
      </c>
      <c r="AG23" s="37">
        <f>IF($C23="","",VLOOKUP($C23,CTBat!$G$10:$BR$208,AG$4,FALSE))</f>
        <v>5</v>
      </c>
      <c r="AH23" s="37">
        <f>IF($C23="","",VLOOKUP($C23,CTBat!$G$10:$BR$208,AH$4,FALSE))</f>
        <v>4</v>
      </c>
      <c r="AI23" s="37">
        <f>IF($C23="","",VLOOKUP($C23,CTBat!$G$10:$BR$208,AI$4,FALSE))</f>
        <v>5</v>
      </c>
      <c r="AJ23" s="38">
        <f>IF($C23="","",VLOOKUP($C23,CTBat!$G$10:$BR$208,AJ$4,FALSE))</f>
        <v>8</v>
      </c>
      <c r="AK23" s="67">
        <f t="shared" si="47"/>
        <v>4.1805555555555554</v>
      </c>
      <c r="AL23" s="288">
        <f t="shared" si="34"/>
        <v>0</v>
      </c>
      <c r="AM23" s="288">
        <f t="shared" si="35"/>
        <v>0</v>
      </c>
      <c r="AN23" s="288">
        <f t="shared" si="36"/>
        <v>0</v>
      </c>
      <c r="AO23" s="288">
        <f t="shared" si="37"/>
        <v>0</v>
      </c>
      <c r="AP23" s="288">
        <f t="shared" si="38"/>
        <v>0</v>
      </c>
      <c r="AQ23" s="288">
        <f t="shared" si="39"/>
        <v>0</v>
      </c>
      <c r="AR23" s="288">
        <f t="shared" si="40"/>
        <v>0</v>
      </c>
      <c r="AS23" s="288">
        <f t="shared" si="41"/>
        <v>0</v>
      </c>
      <c r="AT23" s="288">
        <f t="shared" si="42"/>
        <v>0</v>
      </c>
      <c r="AU23" s="58">
        <f>IF($C23="","",VLOOKUP($C23,CTBat!$G$10:$BR$208,AU$4,FALSE))</f>
        <v>5</v>
      </c>
      <c r="AV23" s="37">
        <f>IF($C23="","",VLOOKUP($C23,CTBat!$G$10:$BR$208,AV$4,FALSE))</f>
        <v>5</v>
      </c>
      <c r="AW23" s="37">
        <f>IF($C23="","",VLOOKUP($C23,CTBat!$G$10:$BR$208,AW$4,FALSE))</f>
        <v>2</v>
      </c>
      <c r="AX23" s="37">
        <f>IF($C23="","",VLOOKUP($C23,CTBat!$G$10:$BR$208,AX$4,FALSE))</f>
        <v>5</v>
      </c>
      <c r="AY23" s="38">
        <f>IF($C23="","",VLOOKUP($C23,CTBat!$G$10:$BR$208,AY$4,FALSE))</f>
        <v>4</v>
      </c>
      <c r="AZ23" s="67">
        <f t="shared" si="43"/>
        <v>4.1805555555555554</v>
      </c>
    </row>
    <row r="24" spans="1:52">
      <c r="A24">
        <v>5</v>
      </c>
      <c r="B24" s="36" t="s">
        <v>104</v>
      </c>
      <c r="C24" s="65"/>
      <c r="D24" s="37" t="str">
        <f>IF($C24="","",VLOOKUP($C24,CTBat!$G$10:$BR$208,D$4,FALSE))</f>
        <v/>
      </c>
      <c r="E24" s="37" t="str">
        <f>IF($C24="","",VLOOKUP($C24,CTBat!$G$10:$BR$208,E$4,FALSE))</f>
        <v/>
      </c>
      <c r="F24" s="53" t="str">
        <f t="shared" si="44"/>
        <v/>
      </c>
      <c r="G24" s="288" t="str">
        <f t="shared" si="25"/>
        <v/>
      </c>
      <c r="H24" s="288" t="str">
        <f t="shared" si="48"/>
        <v/>
      </c>
      <c r="I24" s="289" t="str">
        <f t="shared" si="45"/>
        <v/>
      </c>
      <c r="J24" s="37" t="str">
        <f>IF($C24="","",VLOOKUP($C24,CTBat!$G$10:$BR$208,J$4,FALSE))</f>
        <v/>
      </c>
      <c r="K24" s="37" t="str">
        <f>IF($C24="","",VLOOKUP($C24,CTBat!$G$10:$BR$208,K$4,FALSE))</f>
        <v/>
      </c>
      <c r="L24" s="37" t="str">
        <f>IF($C24="","",VLOOKUP($C24,CTBat!$G$10:$BR$208,L$4,FALSE))</f>
        <v/>
      </c>
      <c r="M24" s="58" t="str">
        <f>IF($C24="","",VLOOKUP($C24,CTBat!$G$10:$BR$208,M$4,FALSE))</f>
        <v/>
      </c>
      <c r="N24" s="37" t="str">
        <f>IF($C24="","",VLOOKUP($C24,CTBat!$G$10:$BR$208,N$4,FALSE))</f>
        <v/>
      </c>
      <c r="O24" s="37" t="str">
        <f>IF($C24="","",VLOOKUP($C24,CTBat!$G$10:$BR$208,O$4,FALSE))</f>
        <v/>
      </c>
      <c r="P24" s="37" t="str">
        <f>IF($C24="","",VLOOKUP($C24,CTBat!$G$10:$BR$208,P$4,FALSE))</f>
        <v/>
      </c>
      <c r="Q24" s="37" t="str">
        <f>IF($C24="","",VLOOKUP($C24,CTBat!$G$10:$BR$208,Q$4,FALSE))</f>
        <v/>
      </c>
      <c r="R24" s="37" t="str">
        <f>IF($C24="","",VLOOKUP($C24,CTBat!$G$10:$BR$208,R$4,FALSE))</f>
        <v/>
      </c>
      <c r="S24" s="37" t="str">
        <f>IF($C24="","",VLOOKUP($C24,CTBat!$G$10:$BR$208,S$4,FALSE))</f>
        <v/>
      </c>
      <c r="T24" s="38" t="str">
        <f>IF($C24="","",VLOOKUP($C24,CTBat!$G$10:$BR$208,T$4,FALSE))</f>
        <v/>
      </c>
      <c r="U24" s="288" t="str">
        <f t="shared" si="49"/>
        <v/>
      </c>
      <c r="V24" s="288" t="str">
        <f t="shared" si="27"/>
        <v/>
      </c>
      <c r="W24" s="288" t="str">
        <f t="shared" si="46"/>
        <v/>
      </c>
      <c r="X24" s="288" t="str">
        <f t="shared" si="28"/>
        <v/>
      </c>
      <c r="Y24" s="288" t="str">
        <f t="shared" si="29"/>
        <v/>
      </c>
      <c r="Z24" s="288" t="str">
        <f t="shared" si="30"/>
        <v/>
      </c>
      <c r="AA24" s="288" t="str">
        <f t="shared" si="31"/>
        <v/>
      </c>
      <c r="AB24" s="288" t="str">
        <f t="shared" si="32"/>
        <v/>
      </c>
      <c r="AC24" s="288" t="str">
        <f t="shared" si="33"/>
        <v/>
      </c>
      <c r="AD24" s="58" t="str">
        <f>IF($C24="","",VLOOKUP($C24,CTBat!$G$10:$BR$208,AD$4,FALSE))</f>
        <v/>
      </c>
      <c r="AE24" s="37" t="str">
        <f>IF($C24="","",VLOOKUP($C24,CTBat!$G$10:$BR$208,AE$4,FALSE))</f>
        <v/>
      </c>
      <c r="AF24" s="37" t="str">
        <f>IF($C24="","",VLOOKUP($C24,CTBat!$G$10:$BR$208,AF$4,FALSE))</f>
        <v/>
      </c>
      <c r="AG24" s="37" t="str">
        <f>IF($C24="","",VLOOKUP($C24,CTBat!$G$10:$BR$208,AG$4,FALSE))</f>
        <v/>
      </c>
      <c r="AH24" s="37" t="str">
        <f>IF($C24="","",VLOOKUP($C24,CTBat!$G$10:$BR$208,AH$4,FALSE))</f>
        <v/>
      </c>
      <c r="AI24" s="37" t="str">
        <f>IF($C24="","",VLOOKUP($C24,CTBat!$G$10:$BR$208,AI$4,FALSE))</f>
        <v/>
      </c>
      <c r="AJ24" s="38" t="str">
        <f>IF($C24="","",VLOOKUP($C24,CTBat!$G$10:$BR$208,AJ$4,FALSE))</f>
        <v/>
      </c>
      <c r="AK24" s="67" t="str">
        <f t="shared" si="47"/>
        <v/>
      </c>
      <c r="AL24" s="288" t="str">
        <f t="shared" si="34"/>
        <v/>
      </c>
      <c r="AM24" s="288" t="str">
        <f t="shared" si="35"/>
        <v/>
      </c>
      <c r="AN24" s="288" t="str">
        <f t="shared" si="36"/>
        <v/>
      </c>
      <c r="AO24" s="288" t="str">
        <f t="shared" si="37"/>
        <v/>
      </c>
      <c r="AP24" s="288" t="str">
        <f t="shared" si="38"/>
        <v/>
      </c>
      <c r="AQ24" s="288" t="str">
        <f t="shared" si="39"/>
        <v/>
      </c>
      <c r="AR24" s="288" t="str">
        <f t="shared" si="40"/>
        <v/>
      </c>
      <c r="AS24" s="288" t="str">
        <f t="shared" si="41"/>
        <v/>
      </c>
      <c r="AT24" s="288" t="str">
        <f t="shared" si="42"/>
        <v/>
      </c>
      <c r="AU24" s="58" t="str">
        <f>IF($C24="","",VLOOKUP($C24,CTBat!$G$10:$BR$208,AU$4,FALSE))</f>
        <v/>
      </c>
      <c r="AV24" s="37" t="str">
        <f>IF($C24="","",VLOOKUP($C24,CTBat!$G$10:$BR$208,AV$4,FALSE))</f>
        <v/>
      </c>
      <c r="AW24" s="37" t="str">
        <f>IF($C24="","",VLOOKUP($C24,CTBat!$G$10:$BR$208,AW$4,FALSE))</f>
        <v/>
      </c>
      <c r="AX24" s="37" t="str">
        <f>IF($C24="","",VLOOKUP($C24,CTBat!$G$10:$BR$208,AX$4,FALSE))</f>
        <v/>
      </c>
      <c r="AY24" s="38" t="str">
        <f>IF($C24="","",VLOOKUP($C24,CTBat!$G$10:$BR$208,AY$4,FALSE))</f>
        <v/>
      </c>
      <c r="AZ24" s="67" t="str">
        <f t="shared" si="43"/>
        <v/>
      </c>
    </row>
    <row r="25" spans="1:52">
      <c r="A25">
        <v>6</v>
      </c>
      <c r="B25" s="36" t="s">
        <v>104</v>
      </c>
      <c r="C25" s="65"/>
      <c r="D25" s="37" t="str">
        <f>IF($C25="","",VLOOKUP($C25,CTBat!$G$10:$BR$208,D$4,FALSE))</f>
        <v/>
      </c>
      <c r="E25" s="37" t="str">
        <f>IF($C25="","",VLOOKUP($C25,CTBat!$G$10:$BR$208,E$4,FALSE))</f>
        <v/>
      </c>
      <c r="F25" s="53" t="str">
        <f t="shared" si="44"/>
        <v/>
      </c>
      <c r="G25" s="288" t="str">
        <f t="shared" si="25"/>
        <v/>
      </c>
      <c r="H25" s="288" t="str">
        <f t="shared" si="48"/>
        <v/>
      </c>
      <c r="I25" s="289" t="str">
        <f t="shared" si="45"/>
        <v/>
      </c>
      <c r="J25" s="37" t="str">
        <f>IF($C25="","",VLOOKUP($C25,CTBat!$G$10:$BR$208,J$4,FALSE))</f>
        <v/>
      </c>
      <c r="K25" s="37" t="str">
        <f>IF($C25="","",VLOOKUP($C25,CTBat!$G$10:$BR$208,K$4,FALSE))</f>
        <v/>
      </c>
      <c r="L25" s="37" t="str">
        <f>IF($C25="","",VLOOKUP($C25,CTBat!$G$10:$BR$208,L$4,FALSE))</f>
        <v/>
      </c>
      <c r="M25" s="58" t="str">
        <f>IF($C25="","",VLOOKUP($C25,CTBat!$G$10:$BR$208,M$4,FALSE))</f>
        <v/>
      </c>
      <c r="N25" s="37" t="str">
        <f>IF($C25="","",VLOOKUP($C25,CTBat!$G$10:$BR$208,N$4,FALSE))</f>
        <v/>
      </c>
      <c r="O25" s="37" t="str">
        <f>IF($C25="","",VLOOKUP($C25,CTBat!$G$10:$BR$208,O$4,FALSE))</f>
        <v/>
      </c>
      <c r="P25" s="37" t="str">
        <f>IF($C25="","",VLOOKUP($C25,CTBat!$G$10:$BR$208,P$4,FALSE))</f>
        <v/>
      </c>
      <c r="Q25" s="37" t="str">
        <f>IF($C25="","",VLOOKUP($C25,CTBat!$G$10:$BR$208,Q$4,FALSE))</f>
        <v/>
      </c>
      <c r="R25" s="37" t="str">
        <f>IF($C25="","",VLOOKUP($C25,CTBat!$G$10:$BR$208,R$4,FALSE))</f>
        <v/>
      </c>
      <c r="S25" s="37" t="str">
        <f>IF($C25="","",VLOOKUP($C25,CTBat!$G$10:$BR$208,S$4,FALSE))</f>
        <v/>
      </c>
      <c r="T25" s="38" t="str">
        <f>IF($C25="","",VLOOKUP($C25,CTBat!$G$10:$BR$208,T$4,FALSE))</f>
        <v/>
      </c>
      <c r="U25" s="288" t="str">
        <f t="shared" si="49"/>
        <v/>
      </c>
      <c r="V25" s="288" t="str">
        <f t="shared" si="27"/>
        <v/>
      </c>
      <c r="W25" s="288" t="str">
        <f t="shared" si="46"/>
        <v/>
      </c>
      <c r="X25" s="288" t="str">
        <f t="shared" si="28"/>
        <v/>
      </c>
      <c r="Y25" s="288" t="str">
        <f t="shared" si="29"/>
        <v/>
      </c>
      <c r="Z25" s="288" t="str">
        <f t="shared" si="30"/>
        <v/>
      </c>
      <c r="AA25" s="288" t="str">
        <f t="shared" si="31"/>
        <v/>
      </c>
      <c r="AB25" s="288" t="str">
        <f t="shared" si="32"/>
        <v/>
      </c>
      <c r="AC25" s="288" t="str">
        <f t="shared" si="33"/>
        <v/>
      </c>
      <c r="AD25" s="58" t="str">
        <f>IF($C25="","",VLOOKUP($C25,CTBat!$G$10:$BR$208,AD$4,FALSE))</f>
        <v/>
      </c>
      <c r="AE25" s="37" t="str">
        <f>IF($C25="","",VLOOKUP($C25,CTBat!$G$10:$BR$208,AE$4,FALSE))</f>
        <v/>
      </c>
      <c r="AF25" s="37" t="str">
        <f>IF($C25="","",VLOOKUP($C25,CTBat!$G$10:$BR$208,AF$4,FALSE))</f>
        <v/>
      </c>
      <c r="AG25" s="37" t="str">
        <f>IF($C25="","",VLOOKUP($C25,CTBat!$G$10:$BR$208,AG$4,FALSE))</f>
        <v/>
      </c>
      <c r="AH25" s="37" t="str">
        <f>IF($C25="","",VLOOKUP($C25,CTBat!$G$10:$BR$208,AH$4,FALSE))</f>
        <v/>
      </c>
      <c r="AI25" s="37" t="str">
        <f>IF($C25="","",VLOOKUP($C25,CTBat!$G$10:$BR$208,AI$4,FALSE))</f>
        <v/>
      </c>
      <c r="AJ25" s="38" t="str">
        <f>IF($C25="","",VLOOKUP($C25,CTBat!$G$10:$BR$208,AJ$4,FALSE))</f>
        <v/>
      </c>
      <c r="AK25" s="67" t="str">
        <f t="shared" si="47"/>
        <v/>
      </c>
      <c r="AL25" s="288" t="str">
        <f t="shared" si="34"/>
        <v/>
      </c>
      <c r="AM25" s="288" t="str">
        <f t="shared" si="35"/>
        <v/>
      </c>
      <c r="AN25" s="288" t="str">
        <f t="shared" si="36"/>
        <v/>
      </c>
      <c r="AO25" s="288" t="str">
        <f t="shared" si="37"/>
        <v/>
      </c>
      <c r="AP25" s="288" t="str">
        <f t="shared" si="38"/>
        <v/>
      </c>
      <c r="AQ25" s="288" t="str">
        <f t="shared" si="39"/>
        <v/>
      </c>
      <c r="AR25" s="288" t="str">
        <f t="shared" si="40"/>
        <v/>
      </c>
      <c r="AS25" s="288" t="str">
        <f t="shared" si="41"/>
        <v/>
      </c>
      <c r="AT25" s="288" t="str">
        <f t="shared" si="42"/>
        <v/>
      </c>
      <c r="AU25" s="58" t="str">
        <f>IF($C25="","",VLOOKUP($C25,CTBat!$G$10:$BR$208,AU$4,FALSE))</f>
        <v/>
      </c>
      <c r="AV25" s="37" t="str">
        <f>IF($C25="","",VLOOKUP($C25,CTBat!$G$10:$BR$208,AV$4,FALSE))</f>
        <v/>
      </c>
      <c r="AW25" s="37" t="str">
        <f>IF($C25="","",VLOOKUP($C25,CTBat!$G$10:$BR$208,AW$4,FALSE))</f>
        <v/>
      </c>
      <c r="AX25" s="37" t="str">
        <f>IF($C25="","",VLOOKUP($C25,CTBat!$G$10:$BR$208,AX$4,FALSE))</f>
        <v/>
      </c>
      <c r="AY25" s="38" t="str">
        <f>IF($C25="","",VLOOKUP($C25,CTBat!$G$10:$BR$208,AY$4,FALSE))</f>
        <v/>
      </c>
      <c r="AZ25" s="67" t="str">
        <f t="shared" si="43"/>
        <v/>
      </c>
    </row>
    <row r="26" spans="1:52">
      <c r="A26">
        <v>7</v>
      </c>
      <c r="B26" s="36" t="s">
        <v>104</v>
      </c>
      <c r="C26" s="65"/>
      <c r="D26" s="37" t="str">
        <f>IF($C26="","",VLOOKUP($C26,CTBat!$G$10:$BR$208,D$4,FALSE))</f>
        <v/>
      </c>
      <c r="E26" s="37" t="str">
        <f>IF($C26="","",VLOOKUP($C26,CTBat!$G$10:$BR$208,E$4,FALSE))</f>
        <v/>
      </c>
      <c r="F26" s="53" t="str">
        <f t="shared" si="44"/>
        <v/>
      </c>
      <c r="G26" s="288" t="str">
        <f t="shared" si="25"/>
        <v/>
      </c>
      <c r="H26" s="288" t="str">
        <f t="shared" si="48"/>
        <v/>
      </c>
      <c r="I26" s="289" t="str">
        <f t="shared" si="45"/>
        <v/>
      </c>
      <c r="J26" s="37" t="str">
        <f>IF($C26="","",VLOOKUP($C26,CTBat!$G$10:$BR$208,J$4,FALSE))</f>
        <v/>
      </c>
      <c r="K26" s="37" t="str">
        <f>IF($C26="","",VLOOKUP($C26,CTBat!$G$10:$BR$208,K$4,FALSE))</f>
        <v/>
      </c>
      <c r="L26" s="37" t="str">
        <f>IF($C26="","",VLOOKUP($C26,CTBat!$G$10:$BR$208,L$4,FALSE))</f>
        <v/>
      </c>
      <c r="M26" s="58" t="str">
        <f>IF($C26="","",VLOOKUP($C26,CTBat!$G$10:$BR$208,M$4,FALSE))</f>
        <v/>
      </c>
      <c r="N26" s="37" t="str">
        <f>IF($C26="","",VLOOKUP($C26,CTBat!$G$10:$BR$208,N$4,FALSE))</f>
        <v/>
      </c>
      <c r="O26" s="37" t="str">
        <f>IF($C26="","",VLOOKUP($C26,CTBat!$G$10:$BR$208,O$4,FALSE))</f>
        <v/>
      </c>
      <c r="P26" s="37" t="str">
        <f>IF($C26="","",VLOOKUP($C26,CTBat!$G$10:$BR$208,P$4,FALSE))</f>
        <v/>
      </c>
      <c r="Q26" s="37" t="str">
        <f>IF($C26="","",VLOOKUP($C26,CTBat!$G$10:$BR$208,Q$4,FALSE))</f>
        <v/>
      </c>
      <c r="R26" s="37" t="str">
        <f>IF($C26="","",VLOOKUP($C26,CTBat!$G$10:$BR$208,R$4,FALSE))</f>
        <v/>
      </c>
      <c r="S26" s="37" t="str">
        <f>IF($C26="","",VLOOKUP($C26,CTBat!$G$10:$BR$208,S$4,FALSE))</f>
        <v/>
      </c>
      <c r="T26" s="38" t="str">
        <f>IF($C26="","",VLOOKUP($C26,CTBat!$G$10:$BR$208,T$4,FALSE))</f>
        <v/>
      </c>
      <c r="U26" s="288" t="str">
        <f t="shared" si="49"/>
        <v/>
      </c>
      <c r="V26" s="288" t="str">
        <f t="shared" si="27"/>
        <v/>
      </c>
      <c r="W26" s="288" t="str">
        <f t="shared" si="46"/>
        <v/>
      </c>
      <c r="X26" s="288" t="str">
        <f t="shared" si="28"/>
        <v/>
      </c>
      <c r="Y26" s="288" t="str">
        <f t="shared" si="29"/>
        <v/>
      </c>
      <c r="Z26" s="288" t="str">
        <f t="shared" si="30"/>
        <v/>
      </c>
      <c r="AA26" s="288" t="str">
        <f t="shared" si="31"/>
        <v/>
      </c>
      <c r="AB26" s="288" t="str">
        <f t="shared" si="32"/>
        <v/>
      </c>
      <c r="AC26" s="288" t="str">
        <f t="shared" si="33"/>
        <v/>
      </c>
      <c r="AD26" s="58" t="str">
        <f>IF($C26="","",VLOOKUP($C26,CTBat!$G$10:$BR$208,AD$4,FALSE))</f>
        <v/>
      </c>
      <c r="AE26" s="37" t="str">
        <f>IF($C26="","",VLOOKUP($C26,CTBat!$G$10:$BR$208,AE$4,FALSE))</f>
        <v/>
      </c>
      <c r="AF26" s="37" t="str">
        <f>IF($C26="","",VLOOKUP($C26,CTBat!$G$10:$BR$208,AF$4,FALSE))</f>
        <v/>
      </c>
      <c r="AG26" s="37" t="str">
        <f>IF($C26="","",VLOOKUP($C26,CTBat!$G$10:$BR$208,AG$4,FALSE))</f>
        <v/>
      </c>
      <c r="AH26" s="37" t="str">
        <f>IF($C26="","",VLOOKUP($C26,CTBat!$G$10:$BR$208,AH$4,FALSE))</f>
        <v/>
      </c>
      <c r="AI26" s="37" t="str">
        <f>IF($C26="","",VLOOKUP($C26,CTBat!$G$10:$BR$208,AI$4,FALSE))</f>
        <v/>
      </c>
      <c r="AJ26" s="38" t="str">
        <f>IF($C26="","",VLOOKUP($C26,CTBat!$G$10:$BR$208,AJ$4,FALSE))</f>
        <v/>
      </c>
      <c r="AK26" s="67" t="str">
        <f t="shared" si="47"/>
        <v/>
      </c>
      <c r="AL26" s="288" t="str">
        <f t="shared" si="34"/>
        <v/>
      </c>
      <c r="AM26" s="288" t="str">
        <f t="shared" si="35"/>
        <v/>
      </c>
      <c r="AN26" s="288" t="str">
        <f t="shared" si="36"/>
        <v/>
      </c>
      <c r="AO26" s="288" t="str">
        <f t="shared" si="37"/>
        <v/>
      </c>
      <c r="AP26" s="288" t="str">
        <f t="shared" si="38"/>
        <v/>
      </c>
      <c r="AQ26" s="288" t="str">
        <f t="shared" si="39"/>
        <v/>
      </c>
      <c r="AR26" s="288" t="str">
        <f t="shared" si="40"/>
        <v/>
      </c>
      <c r="AS26" s="288" t="str">
        <f t="shared" si="41"/>
        <v/>
      </c>
      <c r="AT26" s="288" t="str">
        <f t="shared" si="42"/>
        <v/>
      </c>
      <c r="AU26" s="58" t="str">
        <f>IF($C26="","",VLOOKUP($C26,CTBat!$G$10:$BR$208,AU$4,FALSE))</f>
        <v/>
      </c>
      <c r="AV26" s="37" t="str">
        <f>IF($C26="","",VLOOKUP($C26,CTBat!$G$10:$BR$208,AV$4,FALSE))</f>
        <v/>
      </c>
      <c r="AW26" s="37" t="str">
        <f>IF($C26="","",VLOOKUP($C26,CTBat!$G$10:$BR$208,AW$4,FALSE))</f>
        <v/>
      </c>
      <c r="AX26" s="37" t="str">
        <f>IF($C26="","",VLOOKUP($C26,CTBat!$G$10:$BR$208,AX$4,FALSE))</f>
        <v/>
      </c>
      <c r="AY26" s="38" t="str">
        <f>IF($C26="","",VLOOKUP($C26,CTBat!$G$10:$BR$208,AY$4,FALSE))</f>
        <v/>
      </c>
      <c r="AZ26" s="67" t="str">
        <f t="shared" si="43"/>
        <v/>
      </c>
    </row>
    <row r="27" spans="1:52">
      <c r="A27">
        <v>8</v>
      </c>
      <c r="B27" s="39" t="s">
        <v>104</v>
      </c>
      <c r="C27" s="40"/>
      <c r="D27" s="40" t="str">
        <f>IF($C27="","",VLOOKUP($C27,CTBat!$G$10:$BR$208,D$4,FALSE))</f>
        <v/>
      </c>
      <c r="E27" s="40" t="str">
        <f>IF($C27="","",VLOOKUP($C27,CTBat!$G$10:$BR$208,E$4,FALSE))</f>
        <v/>
      </c>
      <c r="F27" s="54" t="str">
        <f t="shared" si="44"/>
        <v/>
      </c>
      <c r="G27" s="286" t="str">
        <f>IF($C27="","",IF(Q27&lt;&gt;"-",1,0))</f>
        <v/>
      </c>
      <c r="H27" s="286" t="str">
        <f t="shared" si="48"/>
        <v/>
      </c>
      <c r="I27" s="287" t="str">
        <f t="shared" si="45"/>
        <v/>
      </c>
      <c r="J27" s="40" t="str">
        <f>IF($C27="","",VLOOKUP($C27,CTBat!$G$10:$BR$208,J$4,FALSE))</f>
        <v/>
      </c>
      <c r="K27" s="40" t="str">
        <f>IF($C27="","",VLOOKUP($C27,CTBat!$G$10:$BR$208,K$4,FALSE))</f>
        <v/>
      </c>
      <c r="L27" s="40" t="str">
        <f>IF($C27="","",VLOOKUP($C27,CTBat!$G$10:$BR$208,L$4,FALSE))</f>
        <v/>
      </c>
      <c r="M27" s="59" t="str">
        <f>IF($C27="","",VLOOKUP($C27,CTBat!$G$10:$BR$208,M$4,FALSE))</f>
        <v/>
      </c>
      <c r="N27" s="40" t="str">
        <f>IF($C27="","",VLOOKUP($C27,CTBat!$G$10:$BR$208,N$4,FALSE))</f>
        <v/>
      </c>
      <c r="O27" s="40" t="str">
        <f>IF($C27="","",VLOOKUP($C27,CTBat!$G$10:$BR$208,O$4,FALSE))</f>
        <v/>
      </c>
      <c r="P27" s="40" t="str">
        <f>IF($C27="","",VLOOKUP($C27,CTBat!$G$10:$BR$208,P$4,FALSE))</f>
        <v/>
      </c>
      <c r="Q27" s="40" t="str">
        <f>IF($C27="","",VLOOKUP($C27,CTBat!$G$10:$BR$208,Q$4,FALSE))</f>
        <v/>
      </c>
      <c r="R27" s="40" t="str">
        <f>IF($C27="","",VLOOKUP($C27,CTBat!$G$10:$BR$208,R$4,FALSE))</f>
        <v/>
      </c>
      <c r="S27" s="40" t="str">
        <f>IF($C27="","",VLOOKUP($C27,CTBat!$G$10:$BR$208,S$4,FALSE))</f>
        <v/>
      </c>
      <c r="T27" s="42" t="str">
        <f>IF($C27="","",VLOOKUP($C27,CTBat!$G$10:$BR$208,T$4,FALSE))</f>
        <v/>
      </c>
      <c r="U27" s="286" t="str">
        <f t="shared" si="49"/>
        <v/>
      </c>
      <c r="V27" s="286" t="str">
        <f t="shared" si="27"/>
        <v/>
      </c>
      <c r="W27" s="286" t="str">
        <f t="shared" si="46"/>
        <v/>
      </c>
      <c r="X27" s="286" t="str">
        <f t="shared" si="28"/>
        <v/>
      </c>
      <c r="Y27" s="286" t="str">
        <f t="shared" si="29"/>
        <v/>
      </c>
      <c r="Z27" s="286" t="str">
        <f t="shared" si="30"/>
        <v/>
      </c>
      <c r="AA27" s="286" t="str">
        <f t="shared" si="31"/>
        <v/>
      </c>
      <c r="AB27" s="286" t="str">
        <f t="shared" si="32"/>
        <v/>
      </c>
      <c r="AC27" s="286" t="str">
        <f t="shared" si="33"/>
        <v/>
      </c>
      <c r="AD27" s="59" t="str">
        <f>IF($C27="","",VLOOKUP($C27,CTBat!$G$10:$BR$208,AD$4,FALSE))</f>
        <v/>
      </c>
      <c r="AE27" s="40" t="str">
        <f>IF($C27="","",VLOOKUP($C27,CTBat!$G$10:$BR$208,AE$4,FALSE))</f>
        <v/>
      </c>
      <c r="AF27" s="40" t="str">
        <f>IF($C27="","",VLOOKUP($C27,CTBat!$G$10:$BR$208,AF$4,FALSE))</f>
        <v/>
      </c>
      <c r="AG27" s="40" t="str">
        <f>IF($C27="","",VLOOKUP($C27,CTBat!$G$10:$BR$208,AG$4,FALSE))</f>
        <v/>
      </c>
      <c r="AH27" s="40" t="str">
        <f>IF($C27="","",VLOOKUP($C27,CTBat!$G$10:$BR$208,AH$4,FALSE))</f>
        <v/>
      </c>
      <c r="AI27" s="40" t="str">
        <f>IF($C27="","",VLOOKUP($C27,CTBat!$G$10:$BR$208,AI$4,FALSE))</f>
        <v/>
      </c>
      <c r="AJ27" s="42" t="str">
        <f>IF($C27="","",VLOOKUP($C27,CTBat!$G$10:$BR$208,AJ$4,FALSE))</f>
        <v/>
      </c>
      <c r="AK27" s="68" t="str">
        <f t="shared" si="47"/>
        <v/>
      </c>
      <c r="AL27" s="286" t="str">
        <f t="shared" si="34"/>
        <v/>
      </c>
      <c r="AM27" s="286" t="str">
        <f t="shared" si="35"/>
        <v/>
      </c>
      <c r="AN27" s="286" t="str">
        <f t="shared" si="36"/>
        <v/>
      </c>
      <c r="AO27" s="286" t="str">
        <f t="shared" si="37"/>
        <v/>
      </c>
      <c r="AP27" s="286" t="str">
        <f t="shared" si="38"/>
        <v/>
      </c>
      <c r="AQ27" s="286" t="str">
        <f t="shared" si="39"/>
        <v/>
      </c>
      <c r="AR27" s="286" t="str">
        <f t="shared" si="40"/>
        <v/>
      </c>
      <c r="AS27" s="286" t="str">
        <f t="shared" si="41"/>
        <v/>
      </c>
      <c r="AT27" s="286" t="str">
        <f t="shared" si="42"/>
        <v/>
      </c>
      <c r="AU27" s="59" t="str">
        <f>IF($C27="","",VLOOKUP($C27,CTBat!$G$10:$BR$208,AU$4,FALSE))</f>
        <v/>
      </c>
      <c r="AV27" s="40" t="str">
        <f>IF($C27="","",VLOOKUP($C27,CTBat!$G$10:$BR$208,AV$4,FALSE))</f>
        <v/>
      </c>
      <c r="AW27" s="40" t="str">
        <f>IF($C27="","",VLOOKUP($C27,CTBat!$G$10:$BR$208,AW$4,FALSE))</f>
        <v/>
      </c>
      <c r="AX27" s="40" t="str">
        <f>IF($C27="","",VLOOKUP($C27,CTBat!$G$10:$BR$208,AX$4,FALSE))</f>
        <v/>
      </c>
      <c r="AY27" s="42" t="str">
        <f>IF($C27="","",VLOOKUP($C27,CTBat!$G$10:$BR$208,AY$4,FALSE))</f>
        <v/>
      </c>
      <c r="AZ27" s="68" t="str">
        <f t="shared" si="43"/>
        <v/>
      </c>
    </row>
    <row r="29" spans="1:52" ht="196.5">
      <c r="A29" s="25" t="s">
        <v>196</v>
      </c>
      <c r="B29" s="283" t="s">
        <v>136</v>
      </c>
      <c r="C29" s="44" t="str">
        <f>"Player ("&amp;COUNTA(C30:C33)&amp;")"</f>
        <v>Player (2)</v>
      </c>
      <c r="D29" s="44" t="s">
        <v>94</v>
      </c>
      <c r="E29" s="44" t="s">
        <v>104</v>
      </c>
      <c r="F29" s="64" t="str">
        <f>"Strong C Arm ("&amp;SUM(F30:F33)&amp;")"</f>
        <v>Strong C Arm (2)</v>
      </c>
      <c r="G29" s="48" t="s">
        <v>41</v>
      </c>
      <c r="H29" s="48" t="s">
        <v>41</v>
      </c>
      <c r="I29" s="48" t="s">
        <v>41</v>
      </c>
      <c r="J29" s="55" t="s">
        <v>139</v>
      </c>
      <c r="K29" s="47" t="s">
        <v>137</v>
      </c>
      <c r="L29" s="56" t="s">
        <v>138</v>
      </c>
      <c r="M29" s="48" t="s">
        <v>95</v>
      </c>
      <c r="N29" s="48" t="s">
        <v>97</v>
      </c>
      <c r="O29" s="48" t="s">
        <v>98</v>
      </c>
      <c r="P29" s="48" t="s">
        <v>99</v>
      </c>
      <c r="Q29" s="48" t="s">
        <v>100</v>
      </c>
      <c r="R29" s="48" t="s">
        <v>101</v>
      </c>
      <c r="S29" s="48" t="s">
        <v>102</v>
      </c>
      <c r="T29" s="49" t="s">
        <v>103</v>
      </c>
      <c r="U29" s="45" t="s">
        <v>140</v>
      </c>
      <c r="V29" s="45" t="s">
        <v>184</v>
      </c>
      <c r="W29" s="45" t="s">
        <v>141</v>
      </c>
      <c r="X29" s="45" t="s">
        <v>142</v>
      </c>
      <c r="Y29" s="45" t="s">
        <v>143</v>
      </c>
      <c r="Z29" s="45" t="s">
        <v>144</v>
      </c>
      <c r="AA29" s="45" t="s">
        <v>145</v>
      </c>
      <c r="AB29" s="45" t="s">
        <v>147</v>
      </c>
      <c r="AC29" s="60" t="s">
        <v>146</v>
      </c>
      <c r="AD29" s="48" t="s">
        <v>150</v>
      </c>
      <c r="AE29" s="48" t="s">
        <v>151</v>
      </c>
      <c r="AF29" s="48" t="s">
        <v>152</v>
      </c>
      <c r="AG29" s="48" t="s">
        <v>153</v>
      </c>
      <c r="AH29" s="48" t="s">
        <v>29</v>
      </c>
      <c r="AI29" s="48" t="s">
        <v>154</v>
      </c>
      <c r="AJ29" s="49" t="s">
        <v>155</v>
      </c>
      <c r="AK29" s="66" t="s">
        <v>160</v>
      </c>
      <c r="AL29" s="45" t="s">
        <v>140</v>
      </c>
      <c r="AM29" s="45" t="s">
        <v>184</v>
      </c>
      <c r="AN29" s="45" t="s">
        <v>141</v>
      </c>
      <c r="AO29" s="45" t="s">
        <v>142</v>
      </c>
      <c r="AP29" s="45" t="s">
        <v>143</v>
      </c>
      <c r="AQ29" s="45" t="s">
        <v>144</v>
      </c>
      <c r="AR29" s="45" t="s">
        <v>145</v>
      </c>
      <c r="AS29" s="45" t="s">
        <v>147</v>
      </c>
      <c r="AT29" s="60" t="s">
        <v>146</v>
      </c>
      <c r="AU29" s="63" t="s">
        <v>150</v>
      </c>
      <c r="AV29" s="48" t="s">
        <v>151</v>
      </c>
      <c r="AW29" s="48" t="s">
        <v>152</v>
      </c>
      <c r="AX29" s="48" t="s">
        <v>153</v>
      </c>
      <c r="AY29" s="49" t="s">
        <v>29</v>
      </c>
      <c r="AZ29" s="66" t="s">
        <v>201</v>
      </c>
    </row>
    <row r="30" spans="1:52">
      <c r="A30">
        <v>1</v>
      </c>
      <c r="B30" s="36" t="s">
        <v>95</v>
      </c>
      <c r="C30" s="37" t="s">
        <v>52</v>
      </c>
      <c r="D30" s="37">
        <f>IF($C30="","",VLOOKUP($C30,CTBat!$G$10:$BR$208,D$4,FALSE))</f>
        <v>28</v>
      </c>
      <c r="E30" s="37" t="str">
        <f>IF($C30="","",VLOOKUP($C30,CTBat!$G$10:$BR$208,E$4,FALSE))</f>
        <v>R</v>
      </c>
      <c r="F30" s="53">
        <f>IF($C30="","",IF(J30&gt;5,1,0))</f>
        <v>1</v>
      </c>
      <c r="G30" s="288" t="str">
        <f t="shared" ref="G30:H33" si="50">IF($C30="","","-")</f>
        <v>-</v>
      </c>
      <c r="H30" s="288" t="str">
        <f t="shared" si="50"/>
        <v>-</v>
      </c>
      <c r="I30" s="288" t="str">
        <f>IF($C30="","","-")</f>
        <v>-</v>
      </c>
      <c r="J30" s="58">
        <f>IF($C30="","",VLOOKUP($C30,CTBat!$G$10:$BR$208,J$4,FALSE))</f>
        <v>6</v>
      </c>
      <c r="K30" s="37">
        <f>IF($C30="","",VLOOKUP($C30,CTBat!$G$10:$BR$208,K$4,FALSE))</f>
        <v>4</v>
      </c>
      <c r="L30" s="38">
        <f>IF($C30="","",VLOOKUP($C30,CTBat!$G$10:$BR$208,L$4,FALSE))</f>
        <v>5</v>
      </c>
      <c r="M30" s="37">
        <f>IF($C30="","",VLOOKUP($C30,CTBat!$G$10:$BR$208,M$4,FALSE))</f>
        <v>7</v>
      </c>
      <c r="N30" s="37">
        <f>IF($C30="","",VLOOKUP($C30,CTBat!$G$10:$BR$208,N$4,FALSE))</f>
        <v>1</v>
      </c>
      <c r="O30" s="37" t="str">
        <f>IF($C30="","",VLOOKUP($C30,CTBat!$G$10:$BR$208,O$4,FALSE))</f>
        <v>-</v>
      </c>
      <c r="P30" s="37" t="str">
        <f>IF($C30="","",VLOOKUP($C30,CTBat!$G$10:$BR$208,P$4,FALSE))</f>
        <v>-</v>
      </c>
      <c r="Q30" s="37" t="str">
        <f>IF($C30="","",VLOOKUP($C30,CTBat!$G$10:$BR$208,Q$4,FALSE))</f>
        <v>-</v>
      </c>
      <c r="R30" s="37">
        <f>IF($C30="","",VLOOKUP($C30,CTBat!$G$10:$BR$208,R$4,FALSE))</f>
        <v>1</v>
      </c>
      <c r="S30" s="37" t="str">
        <f>IF($C30="","",VLOOKUP($C30,CTBat!$G$10:$BR$208,S$4,FALSE))</f>
        <v>-</v>
      </c>
      <c r="T30" s="38" t="str">
        <f>IF($C30="","",VLOOKUP($C30,CTBat!$G$10:$BR$208,T$4,FALSE))</f>
        <v>-</v>
      </c>
      <c r="U30" s="288">
        <f t="shared" ref="U30:U33" si="51">IF($C30="","",IF(OR(AD30+AG30&gt;14,AND(OR(AD30+AG30&gt;12,AND(AD30&gt;6,AG30&gt;6)),AI30&gt;6,OR(AJ30&gt;=AI30,AJ30&gt;6))),1,0))</f>
        <v>0</v>
      </c>
      <c r="V30" s="288">
        <f t="shared" ref="V30:V33" si="52">IF($C30="","",IF(OR(AND(AD30&gt;6,AH30&gt;6),AD30+AG30&gt;12),1,0))</f>
        <v>0</v>
      </c>
      <c r="W30" s="288">
        <f t="shared" ref="W30:W33" si="53">IF($C30="","",IF(AND(AD30&gt;6,AF30&gt;6,AG30&gt;6),1,0))</f>
        <v>0</v>
      </c>
      <c r="X30" s="288">
        <f t="shared" ref="X30:X33" si="54">IF($C30="","",IF(AND(AF30&gt;7,OR(AD30&gt;6,AG30&gt;6)),1,0))</f>
        <v>0</v>
      </c>
      <c r="Y30" s="288">
        <f t="shared" ref="Y30:Y33" si="55">IF($C30="","",IF(AND(AF30&gt;6,OR(AD30&gt;6,AG30&gt;6)),1,0))</f>
        <v>0</v>
      </c>
      <c r="Z30" s="288">
        <f t="shared" ref="Z30:Z33" si="56">IF($C30="","",IF(AND(OR(AD30&gt;6,AF30&gt;6),OR(AD30&gt;6,AG30&gt;6)),1,0))</f>
        <v>0</v>
      </c>
      <c r="AA30" s="288">
        <f t="shared" ref="AA30:AA33" si="57">IF($C30="","",IF(AND(AD30&gt;4,OR(AD30&gt;6,AF30&gt;6,AG30&gt;6)),1,0))</f>
        <v>0</v>
      </c>
      <c r="AB30" s="288">
        <f t="shared" ref="AB30:AB33" si="58">IF($C30="","",IF(AND(AD30&gt;4,OR(AD30&gt;6,AE30&gt;6,AF30&gt;6,AG30&gt;6)),1,0))</f>
        <v>0</v>
      </c>
      <c r="AC30" s="289">
        <f t="shared" ref="AC30:AC33" si="59">IF($C30="","",IF(AND(AD30&gt;4,MAX(AD30:AH30)&gt;6),1,0))</f>
        <v>0</v>
      </c>
      <c r="AD30" s="37">
        <f>IF($C30="","",VLOOKUP($C30,CTBat!$G$10:$BR$208,AD$4,FALSE))</f>
        <v>5</v>
      </c>
      <c r="AE30" s="37">
        <f>IF($C30="","",VLOOKUP($C30,CTBat!$G$10:$BR$208,AE$4,FALSE))</f>
        <v>5</v>
      </c>
      <c r="AF30" s="37">
        <f>IF($C30="","",VLOOKUP($C30,CTBat!$G$10:$BR$208,AF$4,FALSE))</f>
        <v>5</v>
      </c>
      <c r="AG30" s="37">
        <f>IF($C30="","",VLOOKUP($C30,CTBat!$G$10:$BR$208,AG$4,FALSE))</f>
        <v>5</v>
      </c>
      <c r="AH30" s="37">
        <f>IF($C30="","",VLOOKUP($C30,CTBat!$G$10:$BR$208,AH$4,FALSE))</f>
        <v>6</v>
      </c>
      <c r="AI30" s="37">
        <f>IF($C30="","",VLOOKUP($C30,CTBat!$G$10:$BR$208,AI$4,FALSE))</f>
        <v>1</v>
      </c>
      <c r="AJ30" s="38">
        <f>IF($C30="","",VLOOKUP($C30,CTBat!$G$10:$BR$208,AJ$4,FALSE))</f>
        <v>1</v>
      </c>
      <c r="AK30" s="67">
        <f>IF($C30="","",(5*AD30+4*AF30+3*AG30+2*AE30+1*AH30+0.5*(AVERAGE(AD30:AE30))+0.5*AVERAGE(AD30,AH30)+1*(AVERAGE(AD30,AF30))+1*AVERAGE(AD30,AG30))/(5+4+3+2+1+0.5+0.5+1+1))</f>
        <v>5.0694444444444446</v>
      </c>
      <c r="AL30" s="288">
        <f t="shared" ref="AL30:AL33" si="60">IF($C30="","",IF(AND(OR(AU30+AX30&gt;12,AND(AU30&gt;6,AX30&gt;6)),AI30&gt;6,OR(AJ30&gt;=AI30,AJ30&gt;6)),1,0))</f>
        <v>0</v>
      </c>
      <c r="AM30" s="288">
        <f t="shared" ref="AM30:AM33" si="61">IF($C30="","",IF(OR(AND(AU30&gt;6,AY30&gt;6),AU30+AX30&gt;12),1,0))</f>
        <v>0</v>
      </c>
      <c r="AN30" s="288">
        <f t="shared" ref="AN30:AN33" si="62">IF($C30="","",IF(AND(AU30&gt;6,AW30&gt;6,AX30&gt;6),1,0))</f>
        <v>0</v>
      </c>
      <c r="AO30" s="288">
        <f t="shared" ref="AO30:AO33" si="63">IF($C30="","",IF(AND(AW30&gt;7,OR(AU30&gt;6,AX30&gt;6)),1,0))</f>
        <v>0</v>
      </c>
      <c r="AP30" s="288">
        <f t="shared" ref="AP30:AP33" si="64">IF($C30="","",IF(AND(AW30&gt;6,OR(AU30&gt;6,AX30&gt;6)),1,0))</f>
        <v>0</v>
      </c>
      <c r="AQ30" s="288">
        <f t="shared" ref="AQ30:AQ33" si="65">IF($C30="","",IF(AND(OR(AU30&gt;6,AW30&gt;6),OR(AU30&gt;6,AX30&gt;6)),1,0))</f>
        <v>0</v>
      </c>
      <c r="AR30" s="288">
        <f t="shared" ref="AR30:AR33" si="66">IF($C30="","",IF(AND(AU30&gt;4,OR(AU30&gt;6,AW30&gt;6,AX30&gt;6)),1,0))</f>
        <v>0</v>
      </c>
      <c r="AS30" s="288">
        <f t="shared" ref="AS30:AS33" si="67">IF($C30="","",IF(AND(AU30&gt;4,OR(AU30&gt;6,AV30&gt;6,AW30&gt;6,AX30&gt;6)),1,0))</f>
        <v>0</v>
      </c>
      <c r="AT30" s="289">
        <f t="shared" ref="AT30:AT33" si="68">IF($C30="","",IF(AND(AU30&gt;4,MAX(AU30:AY30)&gt;6),1,0))</f>
        <v>0</v>
      </c>
      <c r="AU30" s="58">
        <f>IF($C30="","",VLOOKUP($C30,CTBat!$G$10:$BR$208,AU$4,FALSE))</f>
        <v>5</v>
      </c>
      <c r="AV30" s="37">
        <f>IF($C30="","",VLOOKUP($C30,CTBat!$G$10:$BR$208,AV$4,FALSE))</f>
        <v>5</v>
      </c>
      <c r="AW30" s="37">
        <f>IF($C30="","",VLOOKUP($C30,CTBat!$G$10:$BR$208,AW$4,FALSE))</f>
        <v>5</v>
      </c>
      <c r="AX30" s="37">
        <f>IF($C30="","",VLOOKUP($C30,CTBat!$G$10:$BR$208,AX$4,FALSE))</f>
        <v>5</v>
      </c>
      <c r="AY30" s="38">
        <f>IF($C30="","",VLOOKUP($C30,CTBat!$G$10:$BR$208,AY$4,FALSE))</f>
        <v>6</v>
      </c>
      <c r="AZ30" s="67">
        <f t="shared" ref="AZ30:AZ33" si="69">IF($C30="","",(5*AU30+4*AW30+3*AX30+2*AV30+1*AY30+0.5*(AVERAGE(AU30:AV30))+0.5*AVERAGE(AU30,AY30)+1*(AVERAGE(AU30,AW30))+1*AVERAGE(AU30,AX30))/(5+4+3+2+1+0.5+0.5+1+1))</f>
        <v>5.0694444444444446</v>
      </c>
    </row>
    <row r="31" spans="1:52">
      <c r="A31">
        <v>2</v>
      </c>
      <c r="B31" s="36" t="s">
        <v>104</v>
      </c>
      <c r="C31" s="37" t="s">
        <v>461</v>
      </c>
      <c r="D31" s="37">
        <f>IF($C31="","",VLOOKUP($C31,CTBat!$G$10:$BR$208,D$4,FALSE))</f>
        <v>25</v>
      </c>
      <c r="E31" s="37" t="str">
        <f>IF($C31="","",VLOOKUP($C31,CTBat!$G$10:$BR$208,E$4,FALSE))</f>
        <v>R</v>
      </c>
      <c r="F31" s="53">
        <f>IF($C31="","",IF(J31&gt;5,1,0))</f>
        <v>1</v>
      </c>
      <c r="G31" s="288" t="str">
        <f t="shared" si="50"/>
        <v>-</v>
      </c>
      <c r="H31" s="288" t="str">
        <f t="shared" si="50"/>
        <v>-</v>
      </c>
      <c r="I31" s="288" t="str">
        <f>IF($C31="","","-")</f>
        <v>-</v>
      </c>
      <c r="J31" s="58">
        <f>IF($C31="","",VLOOKUP($C31,CTBat!$G$10:$BR$208,J$4,FALSE))</f>
        <v>8</v>
      </c>
      <c r="K31" s="37">
        <f>IF($C31="","",VLOOKUP($C31,CTBat!$G$10:$BR$208,K$4,FALSE))</f>
        <v>6</v>
      </c>
      <c r="L31" s="38">
        <f>IF($C31="","",VLOOKUP($C31,CTBat!$G$10:$BR$208,L$4,FALSE))</f>
        <v>7</v>
      </c>
      <c r="M31" s="37">
        <f>IF($C31="","",VLOOKUP($C31,CTBat!$G$10:$BR$208,M$4,FALSE))</f>
        <v>9</v>
      </c>
      <c r="N31" s="37" t="str">
        <f>IF($C31="","",VLOOKUP($C31,CTBat!$G$10:$BR$208,N$4,FALSE))</f>
        <v>-</v>
      </c>
      <c r="O31" s="37" t="str">
        <f>IF($C31="","",VLOOKUP($C31,CTBat!$G$10:$BR$208,O$4,FALSE))</f>
        <v>-</v>
      </c>
      <c r="P31" s="37" t="str">
        <f>IF($C31="","",VLOOKUP($C31,CTBat!$G$10:$BR$208,P$4,FALSE))</f>
        <v>-</v>
      </c>
      <c r="Q31" s="37" t="str">
        <f>IF($C31="","",VLOOKUP($C31,CTBat!$G$10:$BR$208,Q$4,FALSE))</f>
        <v>-</v>
      </c>
      <c r="R31" s="37" t="str">
        <f>IF($C31="","",VLOOKUP($C31,CTBat!$G$10:$BR$208,R$4,FALSE))</f>
        <v>-</v>
      </c>
      <c r="S31" s="37" t="str">
        <f>IF($C31="","",VLOOKUP($C31,CTBat!$G$10:$BR$208,S$4,FALSE))</f>
        <v>-</v>
      </c>
      <c r="T31" s="38" t="str">
        <f>IF($C31="","",VLOOKUP($C31,CTBat!$G$10:$BR$208,T$4,FALSE))</f>
        <v>-</v>
      </c>
      <c r="U31" s="288">
        <f t="shared" si="51"/>
        <v>0</v>
      </c>
      <c r="V31" s="288">
        <f t="shared" si="52"/>
        <v>0</v>
      </c>
      <c r="W31" s="288">
        <f t="shared" si="53"/>
        <v>0</v>
      </c>
      <c r="X31" s="288">
        <f t="shared" si="54"/>
        <v>0</v>
      </c>
      <c r="Y31" s="288">
        <f t="shared" si="55"/>
        <v>0</v>
      </c>
      <c r="Z31" s="288">
        <f t="shared" si="56"/>
        <v>0</v>
      </c>
      <c r="AA31" s="288">
        <f t="shared" si="57"/>
        <v>0</v>
      </c>
      <c r="AB31" s="288">
        <f t="shared" si="58"/>
        <v>1</v>
      </c>
      <c r="AC31" s="289">
        <f t="shared" si="59"/>
        <v>1</v>
      </c>
      <c r="AD31" s="37">
        <f>IF($C31="","",VLOOKUP($C31,CTBat!$G$10:$BR$208,AD$4,FALSE))</f>
        <v>5</v>
      </c>
      <c r="AE31" s="37">
        <f>IF($C31="","",VLOOKUP($C31,CTBat!$G$10:$BR$208,AE$4,FALSE))</f>
        <v>9</v>
      </c>
      <c r="AF31" s="37">
        <f>IF($C31="","",VLOOKUP($C31,CTBat!$G$10:$BR$208,AF$4,FALSE))</f>
        <v>3</v>
      </c>
      <c r="AG31" s="37">
        <f>IF($C31="","",VLOOKUP($C31,CTBat!$G$10:$BR$208,AG$4,FALSE))</f>
        <v>3</v>
      </c>
      <c r="AH31" s="37">
        <f>IF($C31="","",VLOOKUP($C31,CTBat!$G$10:$BR$208,AH$4,FALSE))</f>
        <v>4</v>
      </c>
      <c r="AI31" s="37">
        <f>IF($C31="","",VLOOKUP($C31,CTBat!$G$10:$BR$208,AI$4,FALSE))</f>
        <v>2</v>
      </c>
      <c r="AJ31" s="38">
        <f>IF($C31="","",VLOOKUP($C31,CTBat!$G$10:$BR$208,AJ$4,FALSE))</f>
        <v>2</v>
      </c>
      <c r="AK31" s="67">
        <f t="shared" ref="AK31:AK33" si="70">IF($C31="","",(5*AD31+4*AF31+3*AG31+2*AE31+1*AH31+0.5*(AVERAGE(AD31:AE31))+0.5*AVERAGE(AD31,AH31)+1*(AVERAGE(AD31,AF31))+1*AVERAGE(AD31,AG31))/(5+4+3+2+1+0.5+0.5+1+1))</f>
        <v>4.541666666666667</v>
      </c>
      <c r="AL31" s="288">
        <f t="shared" si="60"/>
        <v>0</v>
      </c>
      <c r="AM31" s="288">
        <f t="shared" si="61"/>
        <v>0</v>
      </c>
      <c r="AN31" s="288">
        <f t="shared" si="62"/>
        <v>0</v>
      </c>
      <c r="AO31" s="288">
        <f t="shared" si="63"/>
        <v>0</v>
      </c>
      <c r="AP31" s="288">
        <f t="shared" si="64"/>
        <v>0</v>
      </c>
      <c r="AQ31" s="288">
        <f t="shared" si="65"/>
        <v>0</v>
      </c>
      <c r="AR31" s="288">
        <f t="shared" si="66"/>
        <v>0</v>
      </c>
      <c r="AS31" s="288">
        <f t="shared" si="67"/>
        <v>1</v>
      </c>
      <c r="AT31" s="289">
        <f t="shared" si="68"/>
        <v>1</v>
      </c>
      <c r="AU31" s="58">
        <f>IF($C31="","",VLOOKUP($C31,CTBat!$G$10:$BR$208,AU$4,FALSE))</f>
        <v>5</v>
      </c>
      <c r="AV31" s="37">
        <f>IF($C31="","",VLOOKUP($C31,CTBat!$G$10:$BR$208,AV$4,FALSE))</f>
        <v>9</v>
      </c>
      <c r="AW31" s="37">
        <f>IF($C31="","",VLOOKUP($C31,CTBat!$G$10:$BR$208,AW$4,FALSE))</f>
        <v>3</v>
      </c>
      <c r="AX31" s="37">
        <f>IF($C31="","",VLOOKUP($C31,CTBat!$G$10:$BR$208,AX$4,FALSE))</f>
        <v>3</v>
      </c>
      <c r="AY31" s="38">
        <f>IF($C31="","",VLOOKUP($C31,CTBat!$G$10:$BR$208,AY$4,FALSE))</f>
        <v>4</v>
      </c>
      <c r="AZ31" s="67">
        <f t="shared" si="69"/>
        <v>4.541666666666667</v>
      </c>
    </row>
    <row r="32" spans="1:52">
      <c r="A32">
        <v>3</v>
      </c>
      <c r="B32" s="36" t="s">
        <v>104</v>
      </c>
      <c r="C32" s="37"/>
      <c r="D32" s="37" t="str">
        <f>IF($C32="","",VLOOKUP($C32,CTBat!$G$10:$BR$208,D$4,FALSE))</f>
        <v/>
      </c>
      <c r="E32" s="37" t="str">
        <f>IF($C32="","",VLOOKUP($C32,CTBat!$G$10:$BR$208,E$4,FALSE))</f>
        <v/>
      </c>
      <c r="F32" s="53" t="str">
        <f>IF($C32="","",IF(J32&gt;5,1,0))</f>
        <v/>
      </c>
      <c r="G32" s="288" t="str">
        <f t="shared" si="50"/>
        <v/>
      </c>
      <c r="H32" s="288" t="str">
        <f t="shared" si="50"/>
        <v/>
      </c>
      <c r="I32" s="288" t="str">
        <f>IF($C32="","","-")</f>
        <v/>
      </c>
      <c r="J32" s="58" t="str">
        <f>IF($C32="","",VLOOKUP($C32,CTBat!$G$10:$BR$208,J$4,FALSE))</f>
        <v/>
      </c>
      <c r="K32" s="37" t="str">
        <f>IF($C32="","",VLOOKUP($C32,CTBat!$G$10:$BR$208,K$4,FALSE))</f>
        <v/>
      </c>
      <c r="L32" s="38" t="str">
        <f>IF($C32="","",VLOOKUP($C32,CTBat!$G$10:$BR$208,L$4,FALSE))</f>
        <v/>
      </c>
      <c r="M32" s="37" t="str">
        <f>IF($C32="","",VLOOKUP($C32,CTBat!$G$10:$BR$208,M$4,FALSE))</f>
        <v/>
      </c>
      <c r="N32" s="37" t="str">
        <f>IF($C32="","",VLOOKUP($C32,CTBat!$G$10:$BR$208,N$4,FALSE))</f>
        <v/>
      </c>
      <c r="O32" s="37" t="str">
        <f>IF($C32="","",VLOOKUP($C32,CTBat!$G$10:$BR$208,O$4,FALSE))</f>
        <v/>
      </c>
      <c r="P32" s="37" t="str">
        <f>IF($C32="","",VLOOKUP($C32,CTBat!$G$10:$BR$208,P$4,FALSE))</f>
        <v/>
      </c>
      <c r="Q32" s="37" t="str">
        <f>IF($C32="","",VLOOKUP($C32,CTBat!$G$10:$BR$208,Q$4,FALSE))</f>
        <v/>
      </c>
      <c r="R32" s="37" t="str">
        <f>IF($C32="","",VLOOKUP($C32,CTBat!$G$10:$BR$208,R$4,FALSE))</f>
        <v/>
      </c>
      <c r="S32" s="37" t="str">
        <f>IF($C32="","",VLOOKUP($C32,CTBat!$G$10:$BR$208,S$4,FALSE))</f>
        <v/>
      </c>
      <c r="T32" s="38" t="str">
        <f>IF($C32="","",VLOOKUP($C32,CTBat!$G$10:$BR$208,T$4,FALSE))</f>
        <v/>
      </c>
      <c r="U32" s="288" t="str">
        <f t="shared" si="51"/>
        <v/>
      </c>
      <c r="V32" s="288" t="str">
        <f t="shared" si="52"/>
        <v/>
      </c>
      <c r="W32" s="288" t="str">
        <f t="shared" si="53"/>
        <v/>
      </c>
      <c r="X32" s="288" t="str">
        <f t="shared" si="54"/>
        <v/>
      </c>
      <c r="Y32" s="288" t="str">
        <f t="shared" si="55"/>
        <v/>
      </c>
      <c r="Z32" s="288" t="str">
        <f t="shared" si="56"/>
        <v/>
      </c>
      <c r="AA32" s="288" t="str">
        <f t="shared" si="57"/>
        <v/>
      </c>
      <c r="AB32" s="288" t="str">
        <f t="shared" si="58"/>
        <v/>
      </c>
      <c r="AC32" s="289" t="str">
        <f t="shared" si="59"/>
        <v/>
      </c>
      <c r="AD32" s="37" t="str">
        <f>IF($C32="","",VLOOKUP($C32,CTBat!$G$10:$BR$208,AD$4,FALSE))</f>
        <v/>
      </c>
      <c r="AE32" s="37" t="str">
        <f>IF($C32="","",VLOOKUP($C32,CTBat!$G$10:$BR$208,AE$4,FALSE))</f>
        <v/>
      </c>
      <c r="AF32" s="37" t="str">
        <f>IF($C32="","",VLOOKUP($C32,CTBat!$G$10:$BR$208,AF$4,FALSE))</f>
        <v/>
      </c>
      <c r="AG32" s="37" t="str">
        <f>IF($C32="","",VLOOKUP($C32,CTBat!$G$10:$BR$208,AG$4,FALSE))</f>
        <v/>
      </c>
      <c r="AH32" s="37" t="str">
        <f>IF($C32="","",VLOOKUP($C32,CTBat!$G$10:$BR$208,AH$4,FALSE))</f>
        <v/>
      </c>
      <c r="AI32" s="37" t="str">
        <f>IF($C32="","",VLOOKUP($C32,CTBat!$G$10:$BR$208,AI$4,FALSE))</f>
        <v/>
      </c>
      <c r="AJ32" s="38" t="str">
        <f>IF($C32="","",VLOOKUP($C32,CTBat!$G$10:$BR$208,AJ$4,FALSE))</f>
        <v/>
      </c>
      <c r="AK32" s="67" t="str">
        <f t="shared" si="70"/>
        <v/>
      </c>
      <c r="AL32" s="288" t="str">
        <f t="shared" si="60"/>
        <v/>
      </c>
      <c r="AM32" s="288" t="str">
        <f t="shared" si="61"/>
        <v/>
      </c>
      <c r="AN32" s="288" t="str">
        <f t="shared" si="62"/>
        <v/>
      </c>
      <c r="AO32" s="288" t="str">
        <f t="shared" si="63"/>
        <v/>
      </c>
      <c r="AP32" s="288" t="str">
        <f t="shared" si="64"/>
        <v/>
      </c>
      <c r="AQ32" s="288" t="str">
        <f t="shared" si="65"/>
        <v/>
      </c>
      <c r="AR32" s="288" t="str">
        <f t="shared" si="66"/>
        <v/>
      </c>
      <c r="AS32" s="288" t="str">
        <f t="shared" si="67"/>
        <v/>
      </c>
      <c r="AT32" s="289" t="str">
        <f t="shared" si="68"/>
        <v/>
      </c>
      <c r="AU32" s="58" t="str">
        <f>IF($C32="","",VLOOKUP($C32,CTBat!$G$10:$BR$208,AU$4,FALSE))</f>
        <v/>
      </c>
      <c r="AV32" s="37" t="str">
        <f>IF($C32="","",VLOOKUP($C32,CTBat!$G$10:$BR$208,AV$4,FALSE))</f>
        <v/>
      </c>
      <c r="AW32" s="37" t="str">
        <f>IF($C32="","",VLOOKUP($C32,CTBat!$G$10:$BR$208,AW$4,FALSE))</f>
        <v/>
      </c>
      <c r="AX32" s="37" t="str">
        <f>IF($C32="","",VLOOKUP($C32,CTBat!$G$10:$BR$208,AX$4,FALSE))</f>
        <v/>
      </c>
      <c r="AY32" s="38" t="str">
        <f>IF($C32="","",VLOOKUP($C32,CTBat!$G$10:$BR$208,AY$4,FALSE))</f>
        <v/>
      </c>
      <c r="AZ32" s="67" t="str">
        <f t="shared" si="69"/>
        <v/>
      </c>
    </row>
    <row r="33" spans="1:52">
      <c r="A33">
        <v>4</v>
      </c>
      <c r="B33" s="39" t="s">
        <v>104</v>
      </c>
      <c r="C33" s="40"/>
      <c r="D33" s="40" t="str">
        <f>IF($C33="","",VLOOKUP($C33,CTBat!$G$10:$BR$208,D$4,FALSE))</f>
        <v/>
      </c>
      <c r="E33" s="40" t="str">
        <f>IF($C33="","",VLOOKUP($C33,CTBat!$G$10:$BR$208,E$4,FALSE))</f>
        <v/>
      </c>
      <c r="F33" s="54" t="str">
        <f>IF($C33="","",IF(J33&gt;5,1,0))</f>
        <v/>
      </c>
      <c r="G33" s="286" t="str">
        <f t="shared" si="50"/>
        <v/>
      </c>
      <c r="H33" s="286" t="str">
        <f t="shared" si="50"/>
        <v/>
      </c>
      <c r="I33" s="286" t="str">
        <f>IF($C33="","","-")</f>
        <v/>
      </c>
      <c r="J33" s="59" t="str">
        <f>IF($C33="","",VLOOKUP($C33,CTBat!$G$10:$BR$208,J$4,FALSE))</f>
        <v/>
      </c>
      <c r="K33" s="40" t="str">
        <f>IF($C33="","",VLOOKUP($C33,CTBat!$G$10:$BR$208,K$4,FALSE))</f>
        <v/>
      </c>
      <c r="L33" s="42" t="str">
        <f>IF($C33="","",VLOOKUP($C33,CTBat!$G$10:$BR$208,L$4,FALSE))</f>
        <v/>
      </c>
      <c r="M33" s="40" t="str">
        <f>IF($C33="","",VLOOKUP($C33,CTBat!$G$10:$BR$208,M$4,FALSE))</f>
        <v/>
      </c>
      <c r="N33" s="40" t="str">
        <f>IF($C33="","",VLOOKUP($C33,CTBat!$G$10:$BR$208,N$4,FALSE))</f>
        <v/>
      </c>
      <c r="O33" s="40" t="str">
        <f>IF($C33="","",VLOOKUP($C33,CTBat!$G$10:$BR$208,O$4,FALSE))</f>
        <v/>
      </c>
      <c r="P33" s="40" t="str">
        <f>IF($C33="","",VLOOKUP($C33,CTBat!$G$10:$BR$208,P$4,FALSE))</f>
        <v/>
      </c>
      <c r="Q33" s="40" t="str">
        <f>IF($C33="","",VLOOKUP($C33,CTBat!$G$10:$BR$208,Q$4,FALSE))</f>
        <v/>
      </c>
      <c r="R33" s="40" t="str">
        <f>IF($C33="","",VLOOKUP($C33,CTBat!$G$10:$BR$208,R$4,FALSE))</f>
        <v/>
      </c>
      <c r="S33" s="40" t="str">
        <f>IF($C33="","",VLOOKUP($C33,CTBat!$G$10:$BR$208,S$4,FALSE))</f>
        <v/>
      </c>
      <c r="T33" s="42" t="str">
        <f>IF($C33="","",VLOOKUP($C33,CTBat!$G$10:$BR$208,T$4,FALSE))</f>
        <v/>
      </c>
      <c r="U33" s="286" t="str">
        <f t="shared" si="51"/>
        <v/>
      </c>
      <c r="V33" s="286" t="str">
        <f t="shared" si="52"/>
        <v/>
      </c>
      <c r="W33" s="286" t="str">
        <f t="shared" si="53"/>
        <v/>
      </c>
      <c r="X33" s="286" t="str">
        <f t="shared" si="54"/>
        <v/>
      </c>
      <c r="Y33" s="286" t="str">
        <f t="shared" si="55"/>
        <v/>
      </c>
      <c r="Z33" s="286" t="str">
        <f t="shared" si="56"/>
        <v/>
      </c>
      <c r="AA33" s="286" t="str">
        <f t="shared" si="57"/>
        <v/>
      </c>
      <c r="AB33" s="286" t="str">
        <f t="shared" si="58"/>
        <v/>
      </c>
      <c r="AC33" s="287" t="str">
        <f t="shared" si="59"/>
        <v/>
      </c>
      <c r="AD33" s="40" t="str">
        <f>IF($C33="","",VLOOKUP($C33,CTBat!$G$10:$BR$208,AD$4,FALSE))</f>
        <v/>
      </c>
      <c r="AE33" s="40" t="str">
        <f>IF($C33="","",VLOOKUP($C33,CTBat!$G$10:$BR$208,AE$4,FALSE))</f>
        <v/>
      </c>
      <c r="AF33" s="40" t="str">
        <f>IF($C33="","",VLOOKUP($C33,CTBat!$G$10:$BR$208,AF$4,FALSE))</f>
        <v/>
      </c>
      <c r="AG33" s="40" t="str">
        <f>IF($C33="","",VLOOKUP($C33,CTBat!$G$10:$BR$208,AG$4,FALSE))</f>
        <v/>
      </c>
      <c r="AH33" s="40" t="str">
        <f>IF($C33="","",VLOOKUP($C33,CTBat!$G$10:$BR$208,AH$4,FALSE))</f>
        <v/>
      </c>
      <c r="AI33" s="40" t="str">
        <f>IF($C33="","",VLOOKUP($C33,CTBat!$G$10:$BR$208,AI$4,FALSE))</f>
        <v/>
      </c>
      <c r="AJ33" s="42" t="str">
        <f>IF($C33="","",VLOOKUP($C33,CTBat!$G$10:$BR$208,AJ$4,FALSE))</f>
        <v/>
      </c>
      <c r="AK33" s="68" t="str">
        <f t="shared" si="70"/>
        <v/>
      </c>
      <c r="AL33" s="286" t="str">
        <f t="shared" si="60"/>
        <v/>
      </c>
      <c r="AM33" s="286" t="str">
        <f t="shared" si="61"/>
        <v/>
      </c>
      <c r="AN33" s="286" t="str">
        <f t="shared" si="62"/>
        <v/>
      </c>
      <c r="AO33" s="286" t="str">
        <f t="shared" si="63"/>
        <v/>
      </c>
      <c r="AP33" s="286" t="str">
        <f t="shared" si="64"/>
        <v/>
      </c>
      <c r="AQ33" s="286" t="str">
        <f t="shared" si="65"/>
        <v/>
      </c>
      <c r="AR33" s="286" t="str">
        <f t="shared" si="66"/>
        <v/>
      </c>
      <c r="AS33" s="286" t="str">
        <f t="shared" si="67"/>
        <v/>
      </c>
      <c r="AT33" s="287" t="str">
        <f t="shared" si="68"/>
        <v/>
      </c>
      <c r="AU33" s="59" t="str">
        <f>IF($C33="","",VLOOKUP($C33,CTBat!$G$10:$BR$208,AU$4,FALSE))</f>
        <v/>
      </c>
      <c r="AV33" s="40" t="str">
        <f>IF($C33="","",VLOOKUP($C33,CTBat!$G$10:$BR$208,AV$4,FALSE))</f>
        <v/>
      </c>
      <c r="AW33" s="40" t="str">
        <f>IF($C33="","",VLOOKUP($C33,CTBat!$G$10:$BR$208,AW$4,FALSE))</f>
        <v/>
      </c>
      <c r="AX33" s="40" t="str">
        <f>IF($C33="","",VLOOKUP($C33,CTBat!$G$10:$BR$208,AX$4,FALSE))</f>
        <v/>
      </c>
      <c r="AY33" s="42" t="str">
        <f>IF($C33="","",VLOOKUP($C33,CTBat!$G$10:$BR$208,AY$4,FALSE))</f>
        <v/>
      </c>
      <c r="AZ33" s="68" t="str">
        <f t="shared" si="69"/>
        <v/>
      </c>
    </row>
    <row r="35" spans="1:52" s="1" customFormat="1">
      <c r="B35" s="283" t="s">
        <v>158</v>
      </c>
      <c r="C35" s="44" t="s">
        <v>121</v>
      </c>
      <c r="D35" s="44" t="s">
        <v>122</v>
      </c>
      <c r="E35" s="50" t="s">
        <v>104</v>
      </c>
      <c r="F35" s="284" t="s">
        <v>159</v>
      </c>
      <c r="G35" s="284" t="s">
        <v>163</v>
      </c>
      <c r="H35" s="285" t="s">
        <v>161</v>
      </c>
      <c r="I35" s="88" t="s">
        <v>185</v>
      </c>
      <c r="J35" s="283" t="s">
        <v>95</v>
      </c>
      <c r="K35" s="284" t="s">
        <v>148</v>
      </c>
      <c r="L35" s="284" t="s">
        <v>149</v>
      </c>
      <c r="M35" s="284" t="s">
        <v>208</v>
      </c>
      <c r="N35" s="284" t="s">
        <v>96</v>
      </c>
      <c r="O35" s="283" t="s">
        <v>209</v>
      </c>
      <c r="P35" s="285" t="s">
        <v>210</v>
      </c>
      <c r="Q35" s="283" t="s">
        <v>218</v>
      </c>
      <c r="R35" s="87" t="s">
        <v>236</v>
      </c>
      <c r="T35" s="283" t="s">
        <v>122</v>
      </c>
      <c r="U35" s="283" t="s">
        <v>219</v>
      </c>
      <c r="V35" s="285" t="s">
        <v>243</v>
      </c>
      <c r="W35" s="284" t="s">
        <v>218</v>
      </c>
      <c r="X35" s="285" t="s">
        <v>236</v>
      </c>
      <c r="AG35" s="290" t="s">
        <v>361</v>
      </c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2"/>
    </row>
    <row r="36" spans="1:52">
      <c r="B36" s="36">
        <v>1</v>
      </c>
      <c r="C36" s="57"/>
      <c r="D36" s="33" t="s">
        <v>102</v>
      </c>
      <c r="E36" s="38" t="str">
        <f>IF($C36="","",VLOOKUP($C36,$C$6:$AK$33,$E$4-2,FALSE))</f>
        <v/>
      </c>
      <c r="F36" s="288" t="str">
        <f>IF($C36="","",VLOOKUP($C36,$C$6:$AK$33,18+$B36,FALSE))</f>
        <v/>
      </c>
      <c r="G36" s="288" t="str">
        <f>IF($C36="","",IF(VLOOKUP($C36,$C$6:$AK$33,18+3,FALSE)=1,3,IF(VLOOKUP($C36,$C$6:$AK$33,18+4,FALSE)=1,4,IF(VLOOKUP($C36,$C$6:$AK$33,18+1,FALSE)=1,1,IF(VLOOKUP($C36,$C$6:$AK$33,18+5,FALSE)=1,5,IF(VLOOKUP($C36,$C$6:$AK$33,18+2,FALSE)=1,2,IF(VLOOKUP($C36,$C$6:$AK$33,18+6,FALSE)=1,6,IF(VLOOKUP($C36,$C$6:$AK$33,18+7,FALSE)=1,7,IF(VLOOKUP($C36,$C$6:$AK$33,18+8,FALSE)=1,8,9)))))))))</f>
        <v/>
      </c>
      <c r="H36" s="8" t="str">
        <f>IF($C36="","",VLOOKUP($C36,$C$6:$AK$33,35,FALSE))</f>
        <v/>
      </c>
      <c r="I36" s="89">
        <v>3</v>
      </c>
      <c r="J36" s="53" t="str">
        <f>IF($C36="","",VLOOKUP($C36,$C$6:$AZ$33,17+AD$4,FALSE))</f>
        <v/>
      </c>
      <c r="K36" s="288" t="str">
        <f>IF($C36="","",VLOOKUP($C36,$C$6:$AZ$33,17+AE$4,FALSE))</f>
        <v/>
      </c>
      <c r="L36" s="288" t="str">
        <f>IF($C36="","",VLOOKUP($C36,$C$6:$AZ$33,17+AF$4,FALSE))</f>
        <v/>
      </c>
      <c r="M36" s="288" t="str">
        <f>IF($C36="","",VLOOKUP($C36,$C$6:$AZ$33,17+AG$4,FALSE))</f>
        <v/>
      </c>
      <c r="N36" s="288" t="str">
        <f>IF($C36="","",VLOOKUP($C36,$C$6:$AZ$33,17+AH$4,FALSE))</f>
        <v/>
      </c>
      <c r="O36" s="53" t="str">
        <f>IF($C36="","",VLOOKUP($C36,$C$6:$AZ$33,1+AI$4,FALSE))</f>
        <v/>
      </c>
      <c r="P36" s="289" t="str">
        <f>IF($C36="","",VLOOKUP($C36,$C$6:$AZ$33,1+AJ$4,FALSE))</f>
        <v/>
      </c>
      <c r="Q36" s="117" t="str">
        <f>IF($C36="","",IF($D36="DH","-",VLOOKUP($C36,$C$5:$AZ$33,9+VLOOKUP($D36,$T$35:$U$43,2,FALSE),FALSE)))</f>
        <v/>
      </c>
      <c r="R36" s="102" t="str">
        <f>IF($C36="","",IF($D36="DH","-",VLOOKUP($C36,$C$5:$AZ$33,VLOOKUP($D36,$T$35:$V$43,3,FALSE),FALSE)))</f>
        <v/>
      </c>
      <c r="T36" s="53" t="s">
        <v>95</v>
      </c>
      <c r="U36" s="53">
        <v>2</v>
      </c>
      <c r="V36" s="289">
        <v>8</v>
      </c>
      <c r="W36" s="288" t="str">
        <f>VLOOKUP($T36,$D$35:$R$44,14,FALSE)</f>
        <v/>
      </c>
      <c r="X36" s="289" t="str">
        <f>VLOOKUP($T36,$D$35:$R$44,15,FALSE)</f>
        <v/>
      </c>
      <c r="AG36" s="202">
        <v>1</v>
      </c>
      <c r="AH36" s="295" t="s">
        <v>356</v>
      </c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6"/>
    </row>
    <row r="37" spans="1:52">
      <c r="B37" s="36">
        <v>2</v>
      </c>
      <c r="C37" s="58"/>
      <c r="D37" s="37" t="s">
        <v>18</v>
      </c>
      <c r="E37" s="38" t="str">
        <f>IF($C37="","",VLOOKUP($C37,$C$6:$AK$33,$E$4-2,FALSE))</f>
        <v/>
      </c>
      <c r="F37" s="288" t="str">
        <f>IF($C37="","",VLOOKUP($C37,$C$6:$AK$33,18+$B37,FALSE))</f>
        <v/>
      </c>
      <c r="G37" s="288" t="str">
        <f>IF($C37="","",IF(VLOOKUP($C37,$C$6:$AK$33,18+3,FALSE)=1,3,IF(VLOOKUP($C37,$C$6:$AK$33,18+4,FALSE)=1,4,IF(VLOOKUP($C37,$C$6:$AK$33,18+1,FALSE)=1,1,IF(VLOOKUP($C37,$C$6:$AK$33,18+5,FALSE)=1,5,IF(VLOOKUP($C37,$C$6:$AK$33,18+2,FALSE)=1,2,IF(VLOOKUP($C37,$C$6:$AK$33,18+6,FALSE)=1,6,IF(VLOOKUP($C37,$C$6:$AK$33,18+7,FALSE)=1,7,IF(VLOOKUP($C37,$C$6:$AK$33,18+8,FALSE)=1,8,9)))))))))</f>
        <v/>
      </c>
      <c r="H37" s="8" t="str">
        <f>IF($C37="","",VLOOKUP($C37,$C$6:$AK$33,35,FALSE))</f>
        <v/>
      </c>
      <c r="I37" s="89">
        <v>5</v>
      </c>
      <c r="J37" s="53" t="str">
        <f>IF($C37="","",VLOOKUP($C37,$C$6:$AZ$33,17+AD$4,FALSE))</f>
        <v/>
      </c>
      <c r="K37" s="288" t="str">
        <f>IF($C37="","",VLOOKUP($C37,$C$6:$AZ$33,17+AE$4,FALSE))</f>
        <v/>
      </c>
      <c r="L37" s="288" t="str">
        <f>IF($C37="","",VLOOKUP($C37,$C$6:$AZ$33,17+AF$4,FALSE))</f>
        <v/>
      </c>
      <c r="M37" s="288" t="str">
        <f>IF($C37="","",VLOOKUP($C37,$C$6:$AZ$33,17+AG$4,FALSE))</f>
        <v/>
      </c>
      <c r="N37" s="288" t="str">
        <f>IF($C37="","",VLOOKUP($C37,$C$6:$AZ$33,17+AH$4,FALSE))</f>
        <v/>
      </c>
      <c r="O37" s="53" t="str">
        <f>IF($C37="","",VLOOKUP($C37,$C$6:$AZ$33,1+AI$4,FALSE))</f>
        <v/>
      </c>
      <c r="P37" s="289" t="str">
        <f>IF($C37="","",VLOOKUP($C37,$C$6:$AZ$33,1+AJ$4,FALSE))</f>
        <v/>
      </c>
      <c r="Q37" s="118" t="str">
        <f>IF($C37="","",IF($D37="DH","-",VLOOKUP($C37,$C$5:$AZ$33,9+VLOOKUP($D37,$T$35:$U$43,2,FALSE),FALSE)))</f>
        <v/>
      </c>
      <c r="R37" s="102" t="str">
        <f>IF($C37="","",IF($D37="DH","-",VLOOKUP($C37,$C$5:$AZ$33,VLOOKUP($D37,$T$35:$V$43,3,FALSE),FALSE)))</f>
        <v/>
      </c>
      <c r="T37" s="53" t="s">
        <v>97</v>
      </c>
      <c r="U37" s="53">
        <v>3</v>
      </c>
      <c r="V37" s="289">
        <v>9</v>
      </c>
      <c r="W37" s="288" t="str">
        <f t="shared" ref="W37:W43" si="71">VLOOKUP($T37,$D$35:$R$44,14,FALSE)</f>
        <v/>
      </c>
      <c r="X37" s="289" t="str">
        <f t="shared" ref="X37:X43" si="72">VLOOKUP($T37,$D$35:$R$44,15,FALSE)</f>
        <v/>
      </c>
      <c r="AG37" s="77">
        <v>2</v>
      </c>
      <c r="AH37" s="295" t="s">
        <v>357</v>
      </c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6"/>
    </row>
    <row r="38" spans="1:52">
      <c r="B38" s="36">
        <v>3</v>
      </c>
      <c r="C38" s="58"/>
      <c r="D38" s="37" t="s">
        <v>100</v>
      </c>
      <c r="E38" s="38" t="str">
        <f>IF($C38="","",VLOOKUP($C38,$C$6:$AK$33,$E$4-2,FALSE))</f>
        <v/>
      </c>
      <c r="F38" s="288" t="str">
        <f>IF($C38="","",VLOOKUP($C38,$C$6:$AK$33,18+$B38,FALSE))</f>
        <v/>
      </c>
      <c r="G38" s="288" t="str">
        <f>IF($C38="","",IF(VLOOKUP($C38,$C$6:$AK$33,18+3,FALSE)=1,3,IF(VLOOKUP($C38,$C$6:$AK$33,18+4,FALSE)=1,4,IF(VLOOKUP($C38,$C$6:$AK$33,18+1,FALSE)=1,1,IF(VLOOKUP($C38,$C$6:$AK$33,18+5,FALSE)=1,5,IF(VLOOKUP($C38,$C$6:$AK$33,18+2,FALSE)=1,2,IF(VLOOKUP($C38,$C$6:$AK$33,18+6,FALSE)=1,6,IF(VLOOKUP($C38,$C$6:$AK$33,18+7,FALSE)=1,7,IF(VLOOKUP($C38,$C$6:$AK$33,18+8,FALSE)=1,8,9)))))))))</f>
        <v/>
      </c>
      <c r="H38" s="8" t="str">
        <f>IF($C38="","",VLOOKUP($C38,$C$6:$AK$33,35,FALSE))</f>
        <v/>
      </c>
      <c r="I38" s="89">
        <v>1</v>
      </c>
      <c r="J38" s="53" t="str">
        <f>IF($C38="","",VLOOKUP($C38,$C$6:$AZ$33,17+AD$4,FALSE))</f>
        <v/>
      </c>
      <c r="K38" s="288" t="str">
        <f>IF($C38="","",VLOOKUP($C38,$C$6:$AZ$33,17+AE$4,FALSE))</f>
        <v/>
      </c>
      <c r="L38" s="288" t="str">
        <f>IF($C38="","",VLOOKUP($C38,$C$6:$AZ$33,17+AF$4,FALSE))</f>
        <v/>
      </c>
      <c r="M38" s="288" t="str">
        <f>IF($C38="","",VLOOKUP($C38,$C$6:$AZ$33,17+AG$4,FALSE))</f>
        <v/>
      </c>
      <c r="N38" s="288" t="str">
        <f>IF($C38="","",VLOOKUP($C38,$C$6:$AZ$33,17+AH$4,FALSE))</f>
        <v/>
      </c>
      <c r="O38" s="53" t="str">
        <f>IF($C38="","",VLOOKUP($C38,$C$6:$AZ$33,1+AI$4,FALSE))</f>
        <v/>
      </c>
      <c r="P38" s="289" t="str">
        <f>IF($C38="","",VLOOKUP($C38,$C$6:$AZ$33,1+AJ$4,FALSE))</f>
        <v/>
      </c>
      <c r="Q38" s="118" t="str">
        <f>IF($C38="","",IF($D38="DH","-",VLOOKUP($C38,$C$5:$AZ$33,9+VLOOKUP($D38,$T$35:$U$43,2,FALSE),FALSE)))</f>
        <v/>
      </c>
      <c r="R38" s="102" t="str">
        <f>IF($C38="","",IF($D38="DH","-",VLOOKUP($C38,$C$5:$AZ$33,VLOOKUP($D38,$T$35:$V$43,3,FALSE),FALSE)))</f>
        <v/>
      </c>
      <c r="T38" s="53" t="s">
        <v>98</v>
      </c>
      <c r="U38" s="53">
        <v>4</v>
      </c>
      <c r="V38" s="289">
        <v>9</v>
      </c>
      <c r="W38" s="288" t="str">
        <f t="shared" si="71"/>
        <v/>
      </c>
      <c r="X38" s="289" t="str">
        <f t="shared" si="72"/>
        <v/>
      </c>
      <c r="AG38" s="77">
        <v>3</v>
      </c>
      <c r="AH38" s="295" t="s">
        <v>359</v>
      </c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6"/>
    </row>
    <row r="39" spans="1:52">
      <c r="B39" s="36">
        <v>4</v>
      </c>
      <c r="C39" s="58"/>
      <c r="D39" s="65" t="s">
        <v>97</v>
      </c>
      <c r="E39" s="38" t="str">
        <f>IF($C39="","",VLOOKUP($C39,$C$6:$AK$33,$E$4-2,FALSE))</f>
        <v/>
      </c>
      <c r="F39" s="288" t="str">
        <f>IF($C39="","",VLOOKUP($C39,$C$6:$AK$33,18+$B39,FALSE))</f>
        <v/>
      </c>
      <c r="G39" s="288" t="str">
        <f>IF($C39="","",IF(VLOOKUP($C39,$C$6:$AK$33,18+3,FALSE)=1,3,IF(VLOOKUP($C39,$C$6:$AK$33,18+4,FALSE)=1,4,IF(VLOOKUP($C39,$C$6:$AK$33,18+1,FALSE)=1,1,IF(VLOOKUP($C39,$C$6:$AK$33,18+5,FALSE)=1,5,IF(VLOOKUP($C39,$C$6:$AK$33,18+2,FALSE)=1,2,IF(VLOOKUP($C39,$C$6:$AK$33,18+6,FALSE)=1,6,IF(VLOOKUP($C39,$C$6:$AK$33,18+7,FALSE)=1,7,IF(VLOOKUP($C39,$C$6:$AK$33,18+8,FALSE)=1,8,9)))))))))</f>
        <v/>
      </c>
      <c r="H39" s="8" t="str">
        <f>IF($C39="","",VLOOKUP($C39,$C$6:$AK$33,35,FALSE))</f>
        <v/>
      </c>
      <c r="I39" s="89">
        <v>2</v>
      </c>
      <c r="J39" s="53" t="str">
        <f>IF($C39="","",VLOOKUP($C39,$C$6:$AZ$33,17+AD$4,FALSE))</f>
        <v/>
      </c>
      <c r="K39" s="288" t="str">
        <f>IF($C39="","",VLOOKUP($C39,$C$6:$AZ$33,17+AE$4,FALSE))</f>
        <v/>
      </c>
      <c r="L39" s="288" t="str">
        <f>IF($C39="","",VLOOKUP($C39,$C$6:$AZ$33,17+AF$4,FALSE))</f>
        <v/>
      </c>
      <c r="M39" s="288" t="str">
        <f>IF($C39="","",VLOOKUP($C39,$C$6:$AZ$33,17+AG$4,FALSE))</f>
        <v/>
      </c>
      <c r="N39" s="288" t="str">
        <f>IF($C39="","",VLOOKUP($C39,$C$6:$AZ$33,17+AH$4,FALSE))</f>
        <v/>
      </c>
      <c r="O39" s="53" t="str">
        <f>IF($C39="","",VLOOKUP($C39,$C$6:$AZ$33,1+AI$4,FALSE))</f>
        <v/>
      </c>
      <c r="P39" s="289" t="str">
        <f>IF($C39="","",VLOOKUP($C39,$C$6:$AZ$33,1+AJ$4,FALSE))</f>
        <v/>
      </c>
      <c r="Q39" s="118" t="str">
        <f>IF($C39="","",IF($D39="DH","-",VLOOKUP($C39,$C$5:$AZ$33,9+VLOOKUP($D39,$T$35:$U$43,2,FALSE),FALSE)))</f>
        <v/>
      </c>
      <c r="R39" s="102" t="str">
        <f>IF($C39="","",IF($D39="DH","-",VLOOKUP($C39,$C$5:$AZ$33,VLOOKUP($D39,$T$35:$V$43,3,FALSE),FALSE)))</f>
        <v/>
      </c>
      <c r="T39" s="53" t="s">
        <v>99</v>
      </c>
      <c r="U39" s="53">
        <v>5</v>
      </c>
      <c r="V39" s="289">
        <v>9</v>
      </c>
      <c r="W39" s="288" t="str">
        <f t="shared" si="71"/>
        <v/>
      </c>
      <c r="X39" s="289" t="str">
        <f t="shared" si="72"/>
        <v/>
      </c>
      <c r="AG39" s="77">
        <v>4</v>
      </c>
      <c r="AH39" s="297" t="s">
        <v>358</v>
      </c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</row>
    <row r="40" spans="1:52">
      <c r="B40" s="36">
        <v>5</v>
      </c>
      <c r="C40" s="58"/>
      <c r="D40" s="65" t="s">
        <v>95</v>
      </c>
      <c r="E40" s="38" t="str">
        <f>IF($C40="","",VLOOKUP($C40,$C$6:$AK$33,$E$4-2,FALSE))</f>
        <v/>
      </c>
      <c r="F40" s="288" t="str">
        <f>IF($C40="","",VLOOKUP($C40,$C$6:$AK$33,18+$B40,FALSE))</f>
        <v/>
      </c>
      <c r="G40" s="288" t="str">
        <f>IF($C40="","",IF(VLOOKUP($C40,$C$6:$AK$33,18+3,FALSE)=1,3,IF(VLOOKUP($C40,$C$6:$AK$33,18+4,FALSE)=1,4,IF(VLOOKUP($C40,$C$6:$AK$33,18+1,FALSE)=1,1,IF(VLOOKUP($C40,$C$6:$AK$33,18+5,FALSE)=1,5,IF(VLOOKUP($C40,$C$6:$AK$33,18+2,FALSE)=1,2,IF(VLOOKUP($C40,$C$6:$AK$33,18+6,FALSE)=1,6,IF(VLOOKUP($C40,$C$6:$AK$33,18+7,FALSE)=1,7,IF(VLOOKUP($C40,$C$6:$AK$33,18+8,FALSE)=1,8,9)))))))))</f>
        <v/>
      </c>
      <c r="H40" s="8" t="str">
        <f>IF($C40="","",VLOOKUP($C40,$C$6:$AK$33,35,FALSE))</f>
        <v/>
      </c>
      <c r="I40" s="89">
        <v>4</v>
      </c>
      <c r="J40" s="53" t="str">
        <f>IF($C40="","",VLOOKUP($C40,$C$6:$AZ$33,17+AD$4,FALSE))</f>
        <v/>
      </c>
      <c r="K40" s="288" t="str">
        <f>IF($C40="","",VLOOKUP($C40,$C$6:$AZ$33,17+AE$4,FALSE))</f>
        <v/>
      </c>
      <c r="L40" s="288" t="str">
        <f>IF($C40="","",VLOOKUP($C40,$C$6:$AZ$33,17+AF$4,FALSE))</f>
        <v/>
      </c>
      <c r="M40" s="288" t="str">
        <f>IF($C40="","",VLOOKUP($C40,$C$6:$AZ$33,17+AG$4,FALSE))</f>
        <v/>
      </c>
      <c r="N40" s="288" t="str">
        <f>IF($C40="","",VLOOKUP($C40,$C$6:$AZ$33,17+AH$4,FALSE))</f>
        <v/>
      </c>
      <c r="O40" s="53" t="str">
        <f>IF($C40="","",VLOOKUP($C40,$C$6:$AZ$33,1+AI$4,FALSE))</f>
        <v/>
      </c>
      <c r="P40" s="289" t="str">
        <f>IF($C40="","",VLOOKUP($C40,$C$6:$AZ$33,1+AJ$4,FALSE))</f>
        <v/>
      </c>
      <c r="Q40" s="118" t="str">
        <f>IF($C40="","",IF($D40="DH","-",VLOOKUP($C40,$C$5:$AZ$33,9+VLOOKUP($D40,$T$35:$U$43,2,FALSE),FALSE)))</f>
        <v/>
      </c>
      <c r="R40" s="102" t="str">
        <f>IF($C40="","",IF($D40="DH","-",VLOOKUP($C40,$C$5:$AZ$33,VLOOKUP($D40,$T$35:$V$43,3,FALSE),FALSE)))</f>
        <v/>
      </c>
      <c r="T40" s="53" t="s">
        <v>100</v>
      </c>
      <c r="U40" s="53">
        <v>6</v>
      </c>
      <c r="V40" s="289">
        <v>9</v>
      </c>
      <c r="W40" s="288" t="str">
        <f t="shared" si="71"/>
        <v/>
      </c>
      <c r="X40" s="289" t="str">
        <f t="shared" si="72"/>
        <v/>
      </c>
      <c r="AG40" s="78">
        <v>5</v>
      </c>
      <c r="AH40" s="293" t="s">
        <v>360</v>
      </c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4"/>
    </row>
    <row r="41" spans="1:52">
      <c r="B41" s="36">
        <v>6</v>
      </c>
      <c r="C41" s="58"/>
      <c r="D41" s="65" t="s">
        <v>103</v>
      </c>
      <c r="E41" s="38" t="str">
        <f>IF($C41="","",VLOOKUP($C41,$C$6:$AK$33,$E$4-2,FALSE))</f>
        <v/>
      </c>
      <c r="F41" s="288" t="str">
        <f>IF($C41="","",VLOOKUP($C41,$C$6:$AK$33,18+$B41,FALSE))</f>
        <v/>
      </c>
      <c r="G41" s="288" t="str">
        <f>IF($C41="","",IF(VLOOKUP($C41,$C$6:$AK$33,18+3,FALSE)=1,3,IF(VLOOKUP($C41,$C$6:$AK$33,18+4,FALSE)=1,4,IF(VLOOKUP($C41,$C$6:$AK$33,18+1,FALSE)=1,1,IF(VLOOKUP($C41,$C$6:$AK$33,18+5,FALSE)=1,5,IF(VLOOKUP($C41,$C$6:$AK$33,18+2,FALSE)=1,2,IF(VLOOKUP($C41,$C$6:$AK$33,18+6,FALSE)=1,6,IF(VLOOKUP($C41,$C$6:$AK$33,18+7,FALSE)=1,7,IF(VLOOKUP($C41,$C$6:$AK$33,18+8,FALSE)=1,8,9)))))))))</f>
        <v/>
      </c>
      <c r="H41" s="8" t="str">
        <f>IF($C41="","",VLOOKUP($C41,$C$6:$AK$33,35,FALSE))</f>
        <v/>
      </c>
      <c r="I41" s="89">
        <v>6</v>
      </c>
      <c r="J41" s="53" t="str">
        <f>IF($C41="","",VLOOKUP($C41,$C$6:$AZ$33,17+AD$4,FALSE))</f>
        <v/>
      </c>
      <c r="K41" s="288" t="str">
        <f>IF($C41="","",VLOOKUP($C41,$C$6:$AZ$33,17+AE$4,FALSE))</f>
        <v/>
      </c>
      <c r="L41" s="288" t="str">
        <f>IF($C41="","",VLOOKUP($C41,$C$6:$AZ$33,17+AF$4,FALSE))</f>
        <v/>
      </c>
      <c r="M41" s="288" t="str">
        <f>IF($C41="","",VLOOKUP($C41,$C$6:$AZ$33,17+AG$4,FALSE))</f>
        <v/>
      </c>
      <c r="N41" s="288" t="str">
        <f>IF($C41="","",VLOOKUP($C41,$C$6:$AZ$33,17+AH$4,FALSE))</f>
        <v/>
      </c>
      <c r="O41" s="53" t="str">
        <f>IF($C41="","",VLOOKUP($C41,$C$6:$AZ$33,1+AI$4,FALSE))</f>
        <v/>
      </c>
      <c r="P41" s="289" t="str">
        <f>IF($C41="","",VLOOKUP($C41,$C$6:$AZ$33,1+AJ$4,FALSE))</f>
        <v/>
      </c>
      <c r="Q41" s="118" t="str">
        <f>IF($C41="","",IF($D41="DH","-",VLOOKUP($C41,$C$5:$AZ$33,9+VLOOKUP($D41,$T$35:$U$43,2,FALSE),FALSE)))</f>
        <v/>
      </c>
      <c r="R41" s="102" t="str">
        <f>IF($C41="","",IF($D41="DH","-",VLOOKUP($C41,$C$5:$AZ$33,VLOOKUP($D41,$T$35:$V$43,3,FALSE),FALSE)))</f>
        <v/>
      </c>
      <c r="T41" s="53" t="s">
        <v>101</v>
      </c>
      <c r="U41" s="53">
        <v>7</v>
      </c>
      <c r="V41" s="289">
        <v>10</v>
      </c>
      <c r="W41" s="288" t="str">
        <f t="shared" si="71"/>
        <v/>
      </c>
      <c r="X41" s="289" t="str">
        <f t="shared" si="72"/>
        <v/>
      </c>
    </row>
    <row r="42" spans="1:52">
      <c r="B42" s="36">
        <v>7</v>
      </c>
      <c r="C42" s="58"/>
      <c r="D42" s="65" t="s">
        <v>101</v>
      </c>
      <c r="E42" s="38" t="str">
        <f>IF($C42="","",VLOOKUP($C42,$C$6:$AK$33,$E$4-2,FALSE))</f>
        <v/>
      </c>
      <c r="F42" s="288" t="str">
        <f>IF($C42="","",VLOOKUP($C42,$C$6:$AK$33,18+$B42,FALSE))</f>
        <v/>
      </c>
      <c r="G42" s="288" t="str">
        <f>IF($C42="","",IF(VLOOKUP($C42,$C$6:$AK$33,18+3,FALSE)=1,3,IF(VLOOKUP($C42,$C$6:$AK$33,18+4,FALSE)=1,4,IF(VLOOKUP($C42,$C$6:$AK$33,18+1,FALSE)=1,1,IF(VLOOKUP($C42,$C$6:$AK$33,18+5,FALSE)=1,5,IF(VLOOKUP($C42,$C$6:$AK$33,18+2,FALSE)=1,2,IF(VLOOKUP($C42,$C$6:$AK$33,18+6,FALSE)=1,6,IF(VLOOKUP($C42,$C$6:$AK$33,18+7,FALSE)=1,7,IF(VLOOKUP($C42,$C$6:$AK$33,18+8,FALSE)=1,8,9)))))))))</f>
        <v/>
      </c>
      <c r="H42" s="8" t="str">
        <f>IF($C42="","",VLOOKUP($C42,$C$6:$AK$33,35,FALSE))</f>
        <v/>
      </c>
      <c r="I42" s="89">
        <v>7</v>
      </c>
      <c r="J42" s="53" t="str">
        <f>IF($C42="","",VLOOKUP($C42,$C$6:$AZ$33,17+AD$4,FALSE))</f>
        <v/>
      </c>
      <c r="K42" s="288" t="str">
        <f>IF($C42="","",VLOOKUP($C42,$C$6:$AZ$33,17+AE$4,FALSE))</f>
        <v/>
      </c>
      <c r="L42" s="288" t="str">
        <f>IF($C42="","",VLOOKUP($C42,$C$6:$AZ$33,17+AF$4,FALSE))</f>
        <v/>
      </c>
      <c r="M42" s="288" t="str">
        <f>IF($C42="","",VLOOKUP($C42,$C$6:$AZ$33,17+AG$4,FALSE))</f>
        <v/>
      </c>
      <c r="N42" s="288" t="str">
        <f>IF($C42="","",VLOOKUP($C42,$C$6:$AZ$33,17+AH$4,FALSE))</f>
        <v/>
      </c>
      <c r="O42" s="53" t="str">
        <f>IF($C42="","",VLOOKUP($C42,$C$6:$AZ$33,1+AI$4,FALSE))</f>
        <v/>
      </c>
      <c r="P42" s="289" t="str">
        <f>IF($C42="","",VLOOKUP($C42,$C$6:$AZ$33,1+AJ$4,FALSE))</f>
        <v/>
      </c>
      <c r="Q42" s="118" t="str">
        <f>IF($C42="","",IF($D42="DH","-",VLOOKUP($C42,$C$5:$AZ$33,9+VLOOKUP($D42,$T$35:$U$43,2,FALSE),FALSE)))</f>
        <v/>
      </c>
      <c r="R42" s="102" t="str">
        <f>IF($C42="","",IF($D42="DH","-",VLOOKUP($C42,$C$5:$AZ$33,VLOOKUP($D42,$T$35:$V$43,3,FALSE),FALSE)))</f>
        <v/>
      </c>
      <c r="T42" s="53" t="s">
        <v>102</v>
      </c>
      <c r="U42" s="53">
        <v>8</v>
      </c>
      <c r="V42" s="289">
        <v>10</v>
      </c>
      <c r="W42" s="288" t="str">
        <f t="shared" si="71"/>
        <v/>
      </c>
      <c r="X42" s="289" t="str">
        <f t="shared" si="72"/>
        <v/>
      </c>
    </row>
    <row r="43" spans="1:52">
      <c r="B43" s="36">
        <v>8</v>
      </c>
      <c r="C43" s="58"/>
      <c r="D43" s="65" t="s">
        <v>99</v>
      </c>
      <c r="E43" s="38" t="str">
        <f>IF($C43="","",VLOOKUP($C43,$C$6:$AK$33,$E$4-2,FALSE))</f>
        <v/>
      </c>
      <c r="F43" s="288" t="str">
        <f>IF($C43="","",VLOOKUP($C43,$C$6:$AK$33,18+$B43,FALSE))</f>
        <v/>
      </c>
      <c r="G43" s="288" t="str">
        <f>IF($C43="","",IF(VLOOKUP($C43,$C$6:$AK$33,18+3,FALSE)=1,3,IF(VLOOKUP($C43,$C$6:$AK$33,18+4,FALSE)=1,4,IF(VLOOKUP($C43,$C$6:$AK$33,18+1,FALSE)=1,1,IF(VLOOKUP($C43,$C$6:$AK$33,18+5,FALSE)=1,5,IF(VLOOKUP($C43,$C$6:$AK$33,18+2,FALSE)=1,2,IF(VLOOKUP($C43,$C$6:$AK$33,18+6,FALSE)=1,6,IF(VLOOKUP($C43,$C$6:$AK$33,18+7,FALSE)=1,7,IF(VLOOKUP($C43,$C$6:$AK$33,18+8,FALSE)=1,8,9)))))))))</f>
        <v/>
      </c>
      <c r="H43" s="8" t="str">
        <f>IF($C43="","",VLOOKUP($C43,$C$6:$AK$33,35,FALSE))</f>
        <v/>
      </c>
      <c r="I43" s="89">
        <v>8</v>
      </c>
      <c r="J43" s="53" t="str">
        <f>IF($C43="","",VLOOKUP($C43,$C$6:$AZ$33,17+AD$4,FALSE))</f>
        <v/>
      </c>
      <c r="K43" s="288" t="str">
        <f>IF($C43="","",VLOOKUP($C43,$C$6:$AZ$33,17+AE$4,FALSE))</f>
        <v/>
      </c>
      <c r="L43" s="288" t="str">
        <f>IF($C43="","",VLOOKUP($C43,$C$6:$AZ$33,17+AF$4,FALSE))</f>
        <v/>
      </c>
      <c r="M43" s="288" t="str">
        <f>IF($C43="","",VLOOKUP($C43,$C$6:$AZ$33,17+AG$4,FALSE))</f>
        <v/>
      </c>
      <c r="N43" s="288" t="str">
        <f>IF($C43="","",VLOOKUP($C43,$C$6:$AZ$33,17+AH$4,FALSE))</f>
        <v/>
      </c>
      <c r="O43" s="53" t="str">
        <f>IF($C43="","",VLOOKUP($C43,$C$6:$AZ$33,1+AI$4,FALSE))</f>
        <v/>
      </c>
      <c r="P43" s="289" t="str">
        <f>IF($C43="","",VLOOKUP($C43,$C$6:$AZ$33,1+AJ$4,FALSE))</f>
        <v/>
      </c>
      <c r="Q43" s="118" t="str">
        <f>IF($C43="","",IF($D43="DH","-",VLOOKUP($C43,$C$5:$AZ$33,9+VLOOKUP($D43,$T$35:$U$43,2,FALSE),FALSE)))</f>
        <v/>
      </c>
      <c r="R43" s="102" t="str">
        <f>IF($C43="","",IF($D43="DH","-",VLOOKUP($C43,$C$5:$AZ$33,VLOOKUP($D43,$T$35:$V$43,3,FALSE),FALSE)))</f>
        <v/>
      </c>
      <c r="T43" s="54" t="s">
        <v>103</v>
      </c>
      <c r="U43" s="54">
        <v>9</v>
      </c>
      <c r="V43" s="287">
        <v>10</v>
      </c>
      <c r="W43" s="286" t="str">
        <f t="shared" si="71"/>
        <v/>
      </c>
      <c r="X43" s="287" t="str">
        <f t="shared" si="72"/>
        <v/>
      </c>
    </row>
    <row r="44" spans="1:52">
      <c r="B44" s="39">
        <v>9</v>
      </c>
      <c r="C44" s="59"/>
      <c r="D44" s="40" t="s">
        <v>98</v>
      </c>
      <c r="E44" s="42" t="str">
        <f>IF($C44="","",VLOOKUP($C44,$C$6:$AK$33,$E$4-2,FALSE))</f>
        <v/>
      </c>
      <c r="F44" s="286" t="str">
        <f>IF($C44="","",VLOOKUP($C44,$C$6:$AK$33,18+$B44,FALSE))</f>
        <v/>
      </c>
      <c r="G44" s="286" t="str">
        <f>IF($C44="","",IF(VLOOKUP($C44,$C$6:$AK$33,18+3,FALSE)=1,3,IF(VLOOKUP($C44,$C$6:$AK$33,18+4,FALSE)=1,4,IF(VLOOKUP($C44,$C$6:$AK$33,18+1,FALSE)=1,1,IF(VLOOKUP($C44,$C$6:$AK$33,18+5,FALSE)=1,5,IF(VLOOKUP($C44,$C$6:$AK$33,18+2,FALSE)=1,2,IF(VLOOKUP($C44,$C$6:$AK$33,18+6,FALSE)=1,6,IF(VLOOKUP($C44,$C$6:$AK$33,18+7,FALSE)=1,7,IF(VLOOKUP($C44,$C$6:$AK$33,18+8,FALSE)=1,8,9)))))))))</f>
        <v/>
      </c>
      <c r="H44" s="69" t="str">
        <f>IF($C44="","",VLOOKUP($C44,$C$6:$AK$33,35,FALSE))</f>
        <v/>
      </c>
      <c r="I44" s="90">
        <v>9</v>
      </c>
      <c r="J44" s="54" t="str">
        <f>IF($C44="","",VLOOKUP($C44,$C$6:$AZ$33,17+AD$4,FALSE))</f>
        <v/>
      </c>
      <c r="K44" s="286" t="str">
        <f>IF($C44="","",VLOOKUP($C44,$C$6:$AZ$33,17+AE$4,FALSE))</f>
        <v/>
      </c>
      <c r="L44" s="286" t="str">
        <f>IF($C44="","",VLOOKUP($C44,$C$6:$AZ$33,17+AF$4,FALSE))</f>
        <v/>
      </c>
      <c r="M44" s="286" t="str">
        <f>IF($C44="","",VLOOKUP($C44,$C$6:$AZ$33,17+AG$4,FALSE))</f>
        <v/>
      </c>
      <c r="N44" s="286" t="str">
        <f>IF($C44="","",VLOOKUP($C44,$C$6:$AZ$33,17+AH$4,FALSE))</f>
        <v/>
      </c>
      <c r="O44" s="54" t="str">
        <f>IF($C44="","",VLOOKUP($C44,$C$6:$AZ$33,1+AI$4,FALSE))</f>
        <v/>
      </c>
      <c r="P44" s="287" t="str">
        <f>IF($C44="","",VLOOKUP($C44,$C$6:$AZ$33,1+AJ$4,FALSE))</f>
        <v/>
      </c>
      <c r="Q44" s="119" t="str">
        <f>IF($C44="","",IF($D44="DH","-",VLOOKUP($C44,$C$5:$AZ$33,9+VLOOKUP($D44,$T$35:$U$43,2,FALSE),FALSE)))</f>
        <v/>
      </c>
      <c r="R44" s="103" t="str">
        <f>IF($C44="","",IF($D44="DH","-",VLOOKUP($C44,$C$5:$AZ$33,VLOOKUP($D44,$T$35:$V$43,3,FALSE),FALSE)))</f>
        <v/>
      </c>
    </row>
    <row r="45" spans="1:52">
      <c r="B45" s="4"/>
      <c r="C45" s="37"/>
      <c r="D45" s="37"/>
      <c r="E45" s="37"/>
      <c r="F45" s="288"/>
      <c r="G45" s="288"/>
      <c r="H45" s="9"/>
    </row>
    <row r="46" spans="1:52">
      <c r="B46" s="32" t="s">
        <v>197</v>
      </c>
      <c r="C46" s="35">
        <f>COUNTA(C6:C17,C20:C27,C30:C33)</f>
        <v>13</v>
      </c>
      <c r="D46" s="318">
        <f>C46/$C$48</f>
        <v>0.52</v>
      </c>
      <c r="E46" s="37"/>
      <c r="F46" s="288"/>
      <c r="G46" s="288"/>
      <c r="H46" s="9"/>
    </row>
    <row r="47" spans="1:52">
      <c r="B47" s="36" t="s">
        <v>198</v>
      </c>
      <c r="C47" s="38">
        <f>COUNTA(C51:C56,C59:C60,C63:C72)</f>
        <v>12</v>
      </c>
      <c r="D47" s="318">
        <f>C47/$C$48</f>
        <v>0.48</v>
      </c>
      <c r="E47" s="37"/>
      <c r="F47" s="288"/>
      <c r="G47" s="288"/>
      <c r="H47" s="9"/>
    </row>
    <row r="48" spans="1:52">
      <c r="B48" s="39" t="s">
        <v>199</v>
      </c>
      <c r="C48" s="42">
        <f>C46+C47</f>
        <v>25</v>
      </c>
      <c r="D48" s="37"/>
      <c r="E48" s="37"/>
      <c r="F48" s="288"/>
      <c r="G48" s="288"/>
      <c r="H48" s="9"/>
    </row>
    <row r="49" spans="1:33">
      <c r="I49">
        <v>6</v>
      </c>
      <c r="K49">
        <v>11</v>
      </c>
      <c r="L49">
        <v>12</v>
      </c>
      <c r="M49">
        <v>13</v>
      </c>
      <c r="N49">
        <v>17</v>
      </c>
      <c r="O49">
        <f>N49+2</f>
        <v>19</v>
      </c>
      <c r="P49">
        <f t="shared" ref="P49:Y49" si="73">O49+2</f>
        <v>21</v>
      </c>
      <c r="Q49">
        <f t="shared" si="73"/>
        <v>23</v>
      </c>
      <c r="R49">
        <f t="shared" si="73"/>
        <v>25</v>
      </c>
      <c r="S49">
        <f t="shared" si="73"/>
        <v>27</v>
      </c>
      <c r="T49">
        <f t="shared" si="73"/>
        <v>29</v>
      </c>
      <c r="U49">
        <f t="shared" si="73"/>
        <v>31</v>
      </c>
      <c r="V49">
        <f t="shared" si="73"/>
        <v>33</v>
      </c>
      <c r="W49">
        <f t="shared" si="73"/>
        <v>35</v>
      </c>
      <c r="X49">
        <f t="shared" si="73"/>
        <v>37</v>
      </c>
      <c r="Y49">
        <f t="shared" si="73"/>
        <v>39</v>
      </c>
      <c r="Z49">
        <v>41</v>
      </c>
      <c r="AA49">
        <v>42</v>
      </c>
      <c r="AB49">
        <v>43</v>
      </c>
      <c r="AC49">
        <v>46</v>
      </c>
      <c r="AD49">
        <v>14</v>
      </c>
      <c r="AE49">
        <v>15</v>
      </c>
      <c r="AF49">
        <v>16</v>
      </c>
      <c r="AG49">
        <v>48</v>
      </c>
    </row>
    <row r="50" spans="1:33" s="288" customFormat="1" ht="74.25">
      <c r="A50" s="73" t="s">
        <v>196</v>
      </c>
      <c r="B50" s="283" t="s">
        <v>129</v>
      </c>
      <c r="C50" s="44" t="s">
        <v>121</v>
      </c>
      <c r="D50" s="44" t="s">
        <v>94</v>
      </c>
      <c r="E50" s="50" t="s">
        <v>105</v>
      </c>
      <c r="F50" s="46" t="s">
        <v>186</v>
      </c>
      <c r="G50" s="46" t="s">
        <v>187</v>
      </c>
      <c r="H50" s="46" t="s">
        <v>188</v>
      </c>
      <c r="I50" s="76" t="s">
        <v>217</v>
      </c>
      <c r="J50" s="76" t="s">
        <v>192</v>
      </c>
      <c r="K50" s="74" t="s">
        <v>189</v>
      </c>
      <c r="L50" s="74" t="s">
        <v>190</v>
      </c>
      <c r="M50" s="75" t="s">
        <v>191</v>
      </c>
      <c r="N50" s="74" t="s">
        <v>63</v>
      </c>
      <c r="O50" s="74" t="s">
        <v>65</v>
      </c>
      <c r="P50" s="74" t="s">
        <v>67</v>
      </c>
      <c r="Q50" s="74" t="s">
        <v>69</v>
      </c>
      <c r="R50" s="74" t="s">
        <v>71</v>
      </c>
      <c r="S50" s="74" t="s">
        <v>111</v>
      </c>
      <c r="T50" s="74" t="s">
        <v>74</v>
      </c>
      <c r="U50" s="74" t="s">
        <v>76</v>
      </c>
      <c r="V50" s="74" t="s">
        <v>78</v>
      </c>
      <c r="W50" s="74" t="s">
        <v>80</v>
      </c>
      <c r="X50" s="74" t="s">
        <v>82</v>
      </c>
      <c r="Y50" s="75" t="s">
        <v>84</v>
      </c>
      <c r="Z50" s="79" t="s">
        <v>203</v>
      </c>
      <c r="AA50" s="74" t="s">
        <v>202</v>
      </c>
      <c r="AB50" s="75" t="s">
        <v>204</v>
      </c>
      <c r="AC50" s="319" t="s">
        <v>647</v>
      </c>
      <c r="AD50" s="74" t="s">
        <v>189</v>
      </c>
      <c r="AE50" s="74" t="s">
        <v>190</v>
      </c>
      <c r="AF50" s="75" t="s">
        <v>191</v>
      </c>
      <c r="AG50" s="319" t="s">
        <v>201</v>
      </c>
    </row>
    <row r="51" spans="1:33">
      <c r="A51" s="288">
        <v>1</v>
      </c>
      <c r="B51" s="36" t="s">
        <v>111</v>
      </c>
      <c r="C51" s="288" t="s">
        <v>636</v>
      </c>
      <c r="D51" s="37">
        <f>IF($C51="","",VLOOKUP($C51,CTPit!$E$10:$BG$214,D$4,FALSE))</f>
        <v>22</v>
      </c>
      <c r="E51" s="38" t="str">
        <f>IF($C51="","",VLOOKUP($C51,CTPit!$E$10:$BG$214,E$4+1,FALSE))</f>
        <v>R</v>
      </c>
      <c r="F51" s="288">
        <f>IF($C51="","",IF(AG51&gt;7,1,0))</f>
        <v>1</v>
      </c>
      <c r="G51" s="288">
        <f>IF($C51="","",IF(AG51&gt;6.5,1,0))</f>
        <v>1</v>
      </c>
      <c r="H51" s="288">
        <f>IF($C51="","",IF(AG51&gt;6,1,0))</f>
        <v>1</v>
      </c>
      <c r="I51" s="99" t="str">
        <f>IF($C51="","",VLOOKUP($C51,CTPit!$E$10:$BG$172,I$49,FALSE))</f>
        <v>R</v>
      </c>
      <c r="J51" s="77">
        <f t="shared" ref="J51:J56" si="74">IF($C51="","",COUNT(N51:Y51))</f>
        <v>4</v>
      </c>
      <c r="K51" s="288">
        <f>IF($C51="","",VLOOKUP($C51,CTPit!$E$10:$BG$172,K$49,FALSE))</f>
        <v>7</v>
      </c>
      <c r="L51" s="288">
        <f>IF($C51="","",VLOOKUP($C51,CTPit!$E$10:$BG$172,L$49,FALSE))</f>
        <v>5</v>
      </c>
      <c r="M51" s="289">
        <f>IF($C51="","",VLOOKUP($C51,CTPit!$E$10:$BG$172,M$49,FALSE))</f>
        <v>3</v>
      </c>
      <c r="N51" s="288">
        <f>IF($C51="","",VLOOKUP($C51,CTPit!$E$10:$BG$172,N$49,FALSE))</f>
        <v>8</v>
      </c>
      <c r="O51" s="288">
        <f>IF($C51="","",VLOOKUP($C51,CTPit!$E$10:$BG$172,O$49,FALSE))</f>
        <v>7</v>
      </c>
      <c r="P51" s="288">
        <f>IF($C51="","",VLOOKUP($C51,CTPit!$E$10:$BG$172,P$49,FALSE))</f>
        <v>5</v>
      </c>
      <c r="Q51" s="288" t="str">
        <f>IF($C51="","",VLOOKUP($C51,CTPit!$E$10:$BG$172,Q$49,FALSE))</f>
        <v>-</v>
      </c>
      <c r="R51" s="288" t="str">
        <f>IF($C51="","",VLOOKUP($C51,CTPit!$E$10:$BG$172,R$49,FALSE))</f>
        <v>-</v>
      </c>
      <c r="S51" s="288" t="str">
        <f>IF($C51="","",VLOOKUP($C51,CTPit!$E$10:$BG$172,S$49,FALSE))</f>
        <v>-</v>
      </c>
      <c r="T51" s="288" t="str">
        <f>IF($C51="","",VLOOKUP($C51,CTPit!$E$10:$BG$172,T$49,FALSE))</f>
        <v>-</v>
      </c>
      <c r="U51" s="288">
        <f>IF($C51="","",VLOOKUP($C51,CTPit!$E$10:$BG$172,U$49,FALSE))</f>
        <v>7</v>
      </c>
      <c r="V51" s="288" t="str">
        <f>IF($C51="","",VLOOKUP($C51,CTPit!$E$10:$BG$172,V$49,FALSE))</f>
        <v>-</v>
      </c>
      <c r="W51" s="288" t="str">
        <f>IF($C51="","",VLOOKUP($C51,CTPit!$E$10:$BG$172,W$49,FALSE))</f>
        <v>-</v>
      </c>
      <c r="X51" s="288" t="str">
        <f>IF($C51="","",VLOOKUP($C51,CTPit!$E$10:$BG$172,X$49,FALSE))</f>
        <v>-</v>
      </c>
      <c r="Y51" s="289" t="str">
        <f>IF($C51="","",VLOOKUP($C51,CTPit!$E$10:$BG$172,Y$49,FALSE))</f>
        <v>-</v>
      </c>
      <c r="Z51" s="53" t="str">
        <f>IF($C51="","",VLOOKUP($C51,CTPit!$E$10:$BG$172,Z$49,FALSE))</f>
        <v>98-100 Mph</v>
      </c>
      <c r="AA51" s="288">
        <f>IF($C51="","",VLOOKUP($C51,CTPit!$E$10:$BG$172,AA$49,FALSE))</f>
        <v>9</v>
      </c>
      <c r="AB51" s="80">
        <f>IF($C51="","",VLOOKUP($C51,CTPit!$E$10:$BG$172,AB$49,FALSE))</f>
        <v>0.56000000000000005</v>
      </c>
      <c r="AC51" s="320">
        <f>IF($C51="","",VLOOKUP($C51,CTPit!$E$10:$BG$172,AC$49,FALSE))</f>
        <v>5.75</v>
      </c>
      <c r="AD51" s="288">
        <f>IF($C51="","",VLOOKUP($C51,CTPit!$E$10:$BG$172,AD$49,FALSE))</f>
        <v>8</v>
      </c>
      <c r="AE51" s="288">
        <f>IF($C51="","",VLOOKUP($C51,CTPit!$E$10:$BG$172,AE$49,FALSE))</f>
        <v>6</v>
      </c>
      <c r="AF51" s="289">
        <f>IF($C51="","",VLOOKUP($C51,CTPit!$E$10:$BG$172,AF$49,FALSE))</f>
        <v>5</v>
      </c>
      <c r="AG51" s="320">
        <f>IF($C51="","",VLOOKUP($C51,CTPit!$E$10:$BG$172,AG$49,FALSE))</f>
        <v>7.083333333333333</v>
      </c>
    </row>
    <row r="52" spans="1:33">
      <c r="A52" s="288">
        <v>2</v>
      </c>
      <c r="B52" s="36" t="s">
        <v>111</v>
      </c>
      <c r="C52" s="37" t="s">
        <v>242</v>
      </c>
      <c r="D52" s="37">
        <f>IF($C52="","",VLOOKUP($C52,CTPit!$E$10:$BG$214,D$4,FALSE))</f>
        <v>26</v>
      </c>
      <c r="E52" s="38" t="str">
        <f>IF($C52="","",VLOOKUP($C52,CTPit!$E$10:$BG$214,E$4+1,FALSE))</f>
        <v>L</v>
      </c>
      <c r="F52" s="288">
        <f t="shared" ref="F52:F56" si="75">IF($C52="","",IF(AG52&gt;7,1,0))</f>
        <v>0</v>
      </c>
      <c r="G52" s="288">
        <f t="shared" ref="G52:G56" si="76">IF($C52="","",IF(AG52&gt;6.5,1,0))</f>
        <v>0</v>
      </c>
      <c r="H52" s="288">
        <f t="shared" ref="H52:H56" si="77">IF($C52="","",IF(AG52&gt;6,1,0))</f>
        <v>0</v>
      </c>
      <c r="I52" s="100" t="str">
        <f>IF($C52="","",VLOOKUP($C52,CTPit!$E$10:$BG$172,I$49,FALSE))</f>
        <v>L</v>
      </c>
      <c r="J52" s="77">
        <f t="shared" si="74"/>
        <v>5</v>
      </c>
      <c r="K52" s="288">
        <f>IF($C52="","",VLOOKUP($C52,CTPit!$E$10:$BG$172,K$49,FALSE))</f>
        <v>4</v>
      </c>
      <c r="L52" s="288">
        <f>IF($C52="","",VLOOKUP($C52,CTPit!$E$10:$BG$172,L$49,FALSE))</f>
        <v>5</v>
      </c>
      <c r="M52" s="289">
        <f>IF($C52="","",VLOOKUP($C52,CTPit!$E$10:$BG$172,M$49,FALSE))</f>
        <v>3</v>
      </c>
      <c r="N52" s="288">
        <f>IF($C52="","",VLOOKUP($C52,CTPit!$E$10:$BG$172,N$49,FALSE))</f>
        <v>4</v>
      </c>
      <c r="O52" s="288">
        <f>IF($C52="","",VLOOKUP($C52,CTPit!$E$10:$BG$172,O$49,FALSE))</f>
        <v>2</v>
      </c>
      <c r="P52" s="288" t="str">
        <f>IF($C52="","",VLOOKUP($C52,CTPit!$E$10:$BG$172,P$49,FALSE))</f>
        <v>-</v>
      </c>
      <c r="Q52" s="288">
        <f>IF($C52="","",VLOOKUP($C52,CTPit!$E$10:$BG$172,Q$49,FALSE))</f>
        <v>5</v>
      </c>
      <c r="R52" s="288" t="str">
        <f>IF($C52="","",VLOOKUP($C52,CTPit!$E$10:$BG$172,R$49,FALSE))</f>
        <v>-</v>
      </c>
      <c r="S52" s="288">
        <f>IF($C52="","",VLOOKUP($C52,CTPit!$E$10:$BG$172,S$49,FALSE))</f>
        <v>4</v>
      </c>
      <c r="T52" s="288">
        <f>IF($C52="","",VLOOKUP($C52,CTPit!$E$10:$BG$172,T$49,FALSE))</f>
        <v>5</v>
      </c>
      <c r="U52" s="288" t="str">
        <f>IF($C52="","",VLOOKUP($C52,CTPit!$E$10:$BG$172,U$49,FALSE))</f>
        <v>-</v>
      </c>
      <c r="V52" s="288" t="str">
        <f>IF($C52="","",VLOOKUP($C52,CTPit!$E$10:$BG$172,V$49,FALSE))</f>
        <v>-</v>
      </c>
      <c r="W52" s="288" t="str">
        <f>IF($C52="","",VLOOKUP($C52,CTPit!$E$10:$BG$172,W$49,FALSE))</f>
        <v>-</v>
      </c>
      <c r="X52" s="288" t="str">
        <f>IF($C52="","",VLOOKUP($C52,CTPit!$E$10:$BG$172,X$49,FALSE))</f>
        <v>-</v>
      </c>
      <c r="Y52" s="289" t="str">
        <f>IF($C52="","",VLOOKUP($C52,CTPit!$E$10:$BG$172,Y$49,FALSE))</f>
        <v>-</v>
      </c>
      <c r="Z52" s="53" t="str">
        <f>IF($C52="","",VLOOKUP($C52,CTPit!$E$10:$BG$172,Z$49,FALSE))</f>
        <v>91-93 Mph</v>
      </c>
      <c r="AA52" s="288">
        <f>IF($C52="","",VLOOKUP($C52,CTPit!$E$10:$BG$172,AA$49,FALSE))</f>
        <v>6</v>
      </c>
      <c r="AB52" s="80">
        <f>IF($C52="","",VLOOKUP($C52,CTPit!$E$10:$BG$172,AB$49,FALSE))</f>
        <v>0.54</v>
      </c>
      <c r="AC52" s="67">
        <f>IF($C52="","",VLOOKUP($C52,CTPit!$E$10:$BG$172,AC$49,FALSE))</f>
        <v>4.5</v>
      </c>
      <c r="AD52" s="288">
        <f>IF($C52="","",VLOOKUP($C52,CTPit!$E$10:$BG$172,AD$49,FALSE))</f>
        <v>5</v>
      </c>
      <c r="AE52" s="288">
        <f>IF($C52="","",VLOOKUP($C52,CTPit!$E$10:$BG$172,AE$49,FALSE))</f>
        <v>5</v>
      </c>
      <c r="AF52" s="289">
        <f>IF($C52="","",VLOOKUP($C52,CTPit!$E$10:$BG$172,AF$49,FALSE))</f>
        <v>3</v>
      </c>
      <c r="AG52" s="67">
        <f>IF($C52="","",VLOOKUP($C52,CTPit!$E$10:$BG$172,AG$49,FALSE))</f>
        <v>4.833333333333333</v>
      </c>
    </row>
    <row r="53" spans="1:33">
      <c r="A53" s="288">
        <v>3</v>
      </c>
      <c r="B53" s="36" t="s">
        <v>111</v>
      </c>
      <c r="C53" s="65" t="s">
        <v>510</v>
      </c>
      <c r="D53" s="37">
        <f>IF($C53="","",VLOOKUP($C53,CTPit!$E$10:$BG$214,D$4,FALSE))</f>
        <v>22</v>
      </c>
      <c r="E53" s="38" t="str">
        <f>IF($C53="","",VLOOKUP($C53,CTPit!$E$10:$BG$214,E$4+1,FALSE))</f>
        <v>L</v>
      </c>
      <c r="F53" s="288">
        <f t="shared" si="75"/>
        <v>0</v>
      </c>
      <c r="G53" s="288">
        <f t="shared" si="76"/>
        <v>0</v>
      </c>
      <c r="H53" s="288">
        <f t="shared" si="77"/>
        <v>0</v>
      </c>
      <c r="I53" s="100" t="str">
        <f>IF($C53="","",VLOOKUP($C53,CTPit!$E$10:$BG$172,I$49,FALSE))</f>
        <v>L</v>
      </c>
      <c r="J53" s="77">
        <f t="shared" si="74"/>
        <v>4</v>
      </c>
      <c r="K53" s="288">
        <f>IF($C53="","",VLOOKUP($C53,CTPit!$E$10:$BG$172,K$49,FALSE))</f>
        <v>5</v>
      </c>
      <c r="L53" s="288">
        <f>IF($C53="","",VLOOKUP($C53,CTPit!$E$10:$BG$172,L$49,FALSE))</f>
        <v>4</v>
      </c>
      <c r="M53" s="289">
        <f>IF($C53="","",VLOOKUP($C53,CTPit!$E$10:$BG$172,M$49,FALSE))</f>
        <v>3</v>
      </c>
      <c r="N53" s="288">
        <f>IF($C53="","",VLOOKUP($C53,CTPit!$E$10:$BG$172,N$49,FALSE))</f>
        <v>6</v>
      </c>
      <c r="O53" s="288">
        <f>IF($C53="","",VLOOKUP($C53,CTPit!$E$10:$BG$172,O$49,FALSE))</f>
        <v>6</v>
      </c>
      <c r="P53" s="288" t="str">
        <f>IF($C53="","",VLOOKUP($C53,CTPit!$E$10:$BG$172,P$49,FALSE))</f>
        <v>-</v>
      </c>
      <c r="Q53" s="288">
        <f>IF($C53="","",VLOOKUP($C53,CTPit!$E$10:$BG$172,Q$49,FALSE))</f>
        <v>3</v>
      </c>
      <c r="R53" s="288" t="str">
        <f>IF($C53="","",VLOOKUP($C53,CTPit!$E$10:$BG$172,R$49,FALSE))</f>
        <v>-</v>
      </c>
      <c r="S53" s="288" t="str">
        <f>IF($C53="","",VLOOKUP($C53,CTPit!$E$10:$BG$172,S$49,FALSE))</f>
        <v>-</v>
      </c>
      <c r="T53" s="288" t="str">
        <f>IF($C53="","",VLOOKUP($C53,CTPit!$E$10:$BG$172,T$49,FALSE))</f>
        <v>-</v>
      </c>
      <c r="U53" s="288">
        <f>IF($C53="","",VLOOKUP($C53,CTPit!$E$10:$BG$172,U$49,FALSE))</f>
        <v>5</v>
      </c>
      <c r="V53" s="288" t="str">
        <f>IF($C53="","",VLOOKUP($C53,CTPit!$E$10:$BG$172,V$49,FALSE))</f>
        <v>-</v>
      </c>
      <c r="W53" s="288" t="str">
        <f>IF($C53="","",VLOOKUP($C53,CTPit!$E$10:$BG$172,W$49,FALSE))</f>
        <v>-</v>
      </c>
      <c r="X53" s="288" t="str">
        <f>IF($C53="","",VLOOKUP($C53,CTPit!$E$10:$BG$172,X$49,FALSE))</f>
        <v>-</v>
      </c>
      <c r="Y53" s="289" t="str">
        <f>IF($C53="","",VLOOKUP($C53,CTPit!$E$10:$BG$172,Y$49,FALSE))</f>
        <v>-</v>
      </c>
      <c r="Z53" s="53" t="str">
        <f>IF($C53="","",VLOOKUP($C53,CTPit!$E$10:$BG$172,Z$49,FALSE))</f>
        <v>93-95 Mph</v>
      </c>
      <c r="AA53" s="288">
        <f>IF($C53="","",VLOOKUP($C53,CTPit!$E$10:$BG$172,AA$49,FALSE))</f>
        <v>9</v>
      </c>
      <c r="AB53" s="80">
        <f>IF($C53="","",VLOOKUP($C53,CTPit!$E$10:$BG$172,AB$49,FALSE))</f>
        <v>0.48</v>
      </c>
      <c r="AC53" s="67">
        <f>IF($C53="","",VLOOKUP($C53,CTPit!$E$10:$BG$172,AC$49,FALSE))</f>
        <v>4.5</v>
      </c>
      <c r="AD53" s="288">
        <f>IF($C53="","",VLOOKUP($C53,CTPit!$E$10:$BG$172,AD$49,FALSE))</f>
        <v>5</v>
      </c>
      <c r="AE53" s="288">
        <f>IF($C53="","",VLOOKUP($C53,CTPit!$E$10:$BG$172,AE$49,FALSE))</f>
        <v>4</v>
      </c>
      <c r="AF53" s="289">
        <f>IF($C53="","",VLOOKUP($C53,CTPit!$E$10:$BG$172,AF$49,FALSE))</f>
        <v>7</v>
      </c>
      <c r="AG53" s="67">
        <f>IF($C53="","",VLOOKUP($C53,CTPit!$E$10:$BG$172,AG$49,FALSE))</f>
        <v>5.833333333333333</v>
      </c>
    </row>
    <row r="54" spans="1:33">
      <c r="A54" s="288">
        <v>4</v>
      </c>
      <c r="B54" s="36" t="s">
        <v>111</v>
      </c>
      <c r="C54" s="65" t="s">
        <v>349</v>
      </c>
      <c r="D54" s="37">
        <f>IF($C54="","",VLOOKUP($C54,CTPit!$E$10:$BG$214,D$4,FALSE))</f>
        <v>25</v>
      </c>
      <c r="E54" s="38" t="str">
        <f>IF($C54="","",VLOOKUP($C54,CTPit!$E$10:$BG$214,E$4+1,FALSE))</f>
        <v>R</v>
      </c>
      <c r="F54" s="288">
        <f t="shared" si="75"/>
        <v>0</v>
      </c>
      <c r="G54" s="288">
        <f t="shared" si="76"/>
        <v>0</v>
      </c>
      <c r="H54" s="288">
        <f t="shared" si="77"/>
        <v>0</v>
      </c>
      <c r="I54" s="100" t="str">
        <f>IF($C54="","",VLOOKUP($C54,CTPit!$E$10:$BG$172,I$49,FALSE))</f>
        <v>R</v>
      </c>
      <c r="J54" s="77">
        <f t="shared" si="74"/>
        <v>3</v>
      </c>
      <c r="K54" s="288">
        <f>IF($C54="","",VLOOKUP($C54,CTPit!$E$10:$BG$172,K$49,FALSE))</f>
        <v>4</v>
      </c>
      <c r="L54" s="288">
        <f>IF($C54="","",VLOOKUP($C54,CTPit!$E$10:$BG$172,L$49,FALSE))</f>
        <v>6</v>
      </c>
      <c r="M54" s="289">
        <f>IF($C54="","",VLOOKUP($C54,CTPit!$E$10:$BG$172,M$49,FALSE))</f>
        <v>3</v>
      </c>
      <c r="N54" s="288">
        <f>IF($C54="","",VLOOKUP($C54,CTPit!$E$10:$BG$172,N$49,FALSE))</f>
        <v>5</v>
      </c>
      <c r="O54" s="288">
        <f>IF($C54="","",VLOOKUP($C54,CTPit!$E$10:$BG$172,O$49,FALSE))</f>
        <v>4</v>
      </c>
      <c r="P54" s="288">
        <f>IF($C54="","",VLOOKUP($C54,CTPit!$E$10:$BG$172,P$49,FALSE))</f>
        <v>5</v>
      </c>
      <c r="Q54" s="288" t="str">
        <f>IF($C54="","",VLOOKUP($C54,CTPit!$E$10:$BG$172,Q$49,FALSE))</f>
        <v>-</v>
      </c>
      <c r="R54" s="288" t="str">
        <f>IF($C54="","",VLOOKUP($C54,CTPit!$E$10:$BG$172,R$49,FALSE))</f>
        <v>-</v>
      </c>
      <c r="S54" s="288" t="str">
        <f>IF($C54="","",VLOOKUP($C54,CTPit!$E$10:$BG$172,S$49,FALSE))</f>
        <v>-</v>
      </c>
      <c r="T54" s="288" t="str">
        <f>IF($C54="","",VLOOKUP($C54,CTPit!$E$10:$BG$172,T$49,FALSE))</f>
        <v>-</v>
      </c>
      <c r="U54" s="288" t="str">
        <f>IF($C54="","",VLOOKUP($C54,CTPit!$E$10:$BG$172,U$49,FALSE))</f>
        <v>-</v>
      </c>
      <c r="V54" s="288" t="str">
        <f>IF($C54="","",VLOOKUP($C54,CTPit!$E$10:$BG$172,V$49,FALSE))</f>
        <v>-</v>
      </c>
      <c r="W54" s="288" t="str">
        <f>IF($C54="","",VLOOKUP($C54,CTPit!$E$10:$BG$172,W$49,FALSE))</f>
        <v>-</v>
      </c>
      <c r="X54" s="288" t="str">
        <f>IF($C54="","",VLOOKUP($C54,CTPit!$E$10:$BG$172,X$49,FALSE))</f>
        <v>-</v>
      </c>
      <c r="Y54" s="289" t="str">
        <f>IF($C54="","",VLOOKUP($C54,CTPit!$E$10:$BG$172,Y$49,FALSE))</f>
        <v>-</v>
      </c>
      <c r="Z54" s="53" t="str">
        <f>IF($C54="","",VLOOKUP($C54,CTPit!$E$10:$BG$172,Z$49,FALSE))</f>
        <v>89-90 Mph</v>
      </c>
      <c r="AA54" s="288">
        <f>IF($C54="","",VLOOKUP($C54,CTPit!$E$10:$BG$172,AA$49,FALSE))</f>
        <v>4</v>
      </c>
      <c r="AB54" s="80">
        <f>IF($C54="","",VLOOKUP($C54,CTPit!$E$10:$BG$172,AB$49,FALSE))</f>
        <v>0.51</v>
      </c>
      <c r="AC54" s="67">
        <f>IF($C54="","",VLOOKUP($C54,CTPit!$E$10:$BG$172,AC$49,FALSE))</f>
        <v>4.333333333333333</v>
      </c>
      <c r="AD54" s="288">
        <f>IF($C54="","",VLOOKUP($C54,CTPit!$E$10:$BG$172,AD$49,FALSE))</f>
        <v>5</v>
      </c>
      <c r="AE54" s="288">
        <f>IF($C54="","",VLOOKUP($C54,CTPit!$E$10:$BG$172,AE$49,FALSE))</f>
        <v>6</v>
      </c>
      <c r="AF54" s="289">
        <f>IF($C54="","",VLOOKUP($C54,CTPit!$E$10:$BG$172,AF$49,FALSE))</f>
        <v>5</v>
      </c>
      <c r="AG54" s="67">
        <f>IF($C54="","",VLOOKUP($C54,CTPit!$E$10:$BG$172,AG$49,FALSE))</f>
        <v>5.333333333333333</v>
      </c>
    </row>
    <row r="55" spans="1:33">
      <c r="A55" s="288">
        <v>5</v>
      </c>
      <c r="B55" s="36" t="s">
        <v>111</v>
      </c>
      <c r="C55" s="65" t="s">
        <v>351</v>
      </c>
      <c r="D55" s="37">
        <f>IF($C55="","",VLOOKUP($C55,CTPit!$E$10:$BG$214,D$4,FALSE))</f>
        <v>22</v>
      </c>
      <c r="E55" s="38" t="str">
        <f>IF($C55="","",VLOOKUP($C55,CTPit!$E$10:$BG$214,E$4+1,FALSE))</f>
        <v>L</v>
      </c>
      <c r="F55" s="288">
        <f t="shared" si="75"/>
        <v>0</v>
      </c>
      <c r="G55" s="288">
        <f t="shared" si="76"/>
        <v>0</v>
      </c>
      <c r="H55" s="288">
        <f t="shared" si="77"/>
        <v>0</v>
      </c>
      <c r="I55" s="100" t="str">
        <f>IF($C55="","",VLOOKUP($C55,CTPit!$E$10:$BG$172,I$49,FALSE))</f>
        <v>L</v>
      </c>
      <c r="J55" s="77">
        <f t="shared" si="74"/>
        <v>3</v>
      </c>
      <c r="K55" s="288">
        <f>IF($C55="","",VLOOKUP($C55,CTPit!$E$10:$BG$172,K$49,FALSE))</f>
        <v>4</v>
      </c>
      <c r="L55" s="288">
        <f>IF($C55="","",VLOOKUP($C55,CTPit!$E$10:$BG$172,L$49,FALSE))</f>
        <v>5</v>
      </c>
      <c r="M55" s="289">
        <f>IF($C55="","",VLOOKUP($C55,CTPit!$E$10:$BG$172,M$49,FALSE))</f>
        <v>4</v>
      </c>
      <c r="N55" s="288">
        <f>IF($C55="","",VLOOKUP($C55,CTPit!$E$10:$BG$172,N$49,FALSE))</f>
        <v>5</v>
      </c>
      <c r="O55" s="288">
        <f>IF($C55="","",VLOOKUP($C55,CTPit!$E$10:$BG$172,O$49,FALSE))</f>
        <v>4</v>
      </c>
      <c r="P55" s="288">
        <f>IF($C55="","",VLOOKUP($C55,CTPit!$E$10:$BG$172,P$49,FALSE))</f>
        <v>4</v>
      </c>
      <c r="Q55" s="288" t="str">
        <f>IF($C55="","",VLOOKUP($C55,CTPit!$E$10:$BG$172,Q$49,FALSE))</f>
        <v>-</v>
      </c>
      <c r="R55" s="288" t="str">
        <f>IF($C55="","",VLOOKUP($C55,CTPit!$E$10:$BG$172,R$49,FALSE))</f>
        <v>-</v>
      </c>
      <c r="S55" s="288" t="str">
        <f>IF($C55="","",VLOOKUP($C55,CTPit!$E$10:$BG$172,S$49,FALSE))</f>
        <v>-</v>
      </c>
      <c r="T55" s="288" t="str">
        <f>IF($C55="","",VLOOKUP($C55,CTPit!$E$10:$BG$172,T$49,FALSE))</f>
        <v>-</v>
      </c>
      <c r="U55" s="288" t="str">
        <f>IF($C55="","",VLOOKUP($C55,CTPit!$E$10:$BG$172,U$49,FALSE))</f>
        <v>-</v>
      </c>
      <c r="V55" s="288" t="str">
        <f>IF($C55="","",VLOOKUP($C55,CTPit!$E$10:$BG$172,V$49,FALSE))</f>
        <v>-</v>
      </c>
      <c r="W55" s="288" t="str">
        <f>IF($C55="","",VLOOKUP($C55,CTPit!$E$10:$BG$172,W$49,FALSE))</f>
        <v>-</v>
      </c>
      <c r="X55" s="288" t="str">
        <f>IF($C55="","",VLOOKUP($C55,CTPit!$E$10:$BG$172,X$49,FALSE))</f>
        <v>-</v>
      </c>
      <c r="Y55" s="289" t="str">
        <f>IF($C55="","",VLOOKUP($C55,CTPit!$E$10:$BG$172,Y$49,FALSE))</f>
        <v>-</v>
      </c>
      <c r="Z55" s="53" t="str">
        <f>IF($C55="","",VLOOKUP($C55,CTPit!$E$10:$BG$172,Z$49,FALSE))</f>
        <v>91-93 Mph</v>
      </c>
      <c r="AA55" s="288">
        <f>IF($C55="","",VLOOKUP($C55,CTPit!$E$10:$BG$172,AA$49,FALSE))</f>
        <v>4</v>
      </c>
      <c r="AB55" s="80">
        <f>IF($C55="","",VLOOKUP($C55,CTPit!$E$10:$BG$172,AB$49,FALSE))</f>
        <v>0.53</v>
      </c>
      <c r="AC55" s="67">
        <f>IF($C55="","",VLOOKUP($C55,CTPit!$E$10:$BG$172,AC$49,FALSE))</f>
        <v>4.333333333333333</v>
      </c>
      <c r="AD55" s="288">
        <f>IF($C55="","",VLOOKUP($C55,CTPit!$E$10:$BG$172,AD$49,FALSE))</f>
        <v>4</v>
      </c>
      <c r="AE55" s="288">
        <f>IF($C55="","",VLOOKUP($C55,CTPit!$E$10:$BG$172,AE$49,FALSE))</f>
        <v>5</v>
      </c>
      <c r="AF55" s="289">
        <f>IF($C55="","",VLOOKUP($C55,CTPit!$E$10:$BG$172,AF$49,FALSE))</f>
        <v>7</v>
      </c>
      <c r="AG55" s="67">
        <f>IF($C55="","",VLOOKUP($C55,CTPit!$E$10:$BG$172,AG$49,FALSE))</f>
        <v>5.333333333333333</v>
      </c>
    </row>
    <row r="56" spans="1:33">
      <c r="A56" s="288">
        <v>6</v>
      </c>
      <c r="B56" s="39" t="s">
        <v>130</v>
      </c>
      <c r="C56" s="286"/>
      <c r="D56" s="40" t="str">
        <f>IF($C56="","",VLOOKUP($C56,CTPit!$E$10:$BG$214,D$4,FALSE))</f>
        <v/>
      </c>
      <c r="E56" s="42" t="str">
        <f>IF($C56="","",VLOOKUP($C56,CTPit!$E$10:$BG$214,E$4+1,FALSE))</f>
        <v/>
      </c>
      <c r="F56" s="286" t="str">
        <f t="shared" si="75"/>
        <v/>
      </c>
      <c r="G56" s="286" t="str">
        <f t="shared" si="76"/>
        <v/>
      </c>
      <c r="H56" s="286" t="str">
        <f t="shared" si="77"/>
        <v/>
      </c>
      <c r="I56" s="101" t="str">
        <f>IF($C56="","",VLOOKUP($C56,CTPit!$E$10:$BG$172,I$49,FALSE))</f>
        <v/>
      </c>
      <c r="J56" s="78" t="str">
        <f t="shared" si="74"/>
        <v/>
      </c>
      <c r="K56" s="286" t="str">
        <f>IF($C56="","",VLOOKUP($C56,CTPit!$E$10:$BG$172,K$49,FALSE))</f>
        <v/>
      </c>
      <c r="L56" s="286" t="str">
        <f>IF($C56="","",VLOOKUP($C56,CTPit!$E$10:$BG$172,L$49,FALSE))</f>
        <v/>
      </c>
      <c r="M56" s="287" t="str">
        <f>IF($C56="","",VLOOKUP($C56,CTPit!$E$10:$BG$172,M$49,FALSE))</f>
        <v/>
      </c>
      <c r="N56" s="286" t="str">
        <f>IF($C56="","",VLOOKUP($C56,CTPit!$E$10:$BG$172,N$49,FALSE))</f>
        <v/>
      </c>
      <c r="O56" s="286" t="str">
        <f>IF($C56="","",VLOOKUP($C56,CTPit!$E$10:$BG$172,O$49,FALSE))</f>
        <v/>
      </c>
      <c r="P56" s="286" t="str">
        <f>IF($C56="","",VLOOKUP($C56,CTPit!$E$10:$BG$172,P$49,FALSE))</f>
        <v/>
      </c>
      <c r="Q56" s="286" t="str">
        <f>IF($C56="","",VLOOKUP($C56,CTPit!$E$10:$BG$172,Q$49,FALSE))</f>
        <v/>
      </c>
      <c r="R56" s="286" t="str">
        <f>IF($C56="","",VLOOKUP($C56,CTPit!$E$10:$BG$172,R$49,FALSE))</f>
        <v/>
      </c>
      <c r="S56" s="286" t="str">
        <f>IF($C56="","",VLOOKUP($C56,CTPit!$E$10:$BG$172,S$49,FALSE))</f>
        <v/>
      </c>
      <c r="T56" s="286" t="str">
        <f>IF($C56="","",VLOOKUP($C56,CTPit!$E$10:$BG$172,T$49,FALSE))</f>
        <v/>
      </c>
      <c r="U56" s="286" t="str">
        <f>IF($C56="","",VLOOKUP($C56,CTPit!$E$10:$BG$172,U$49,FALSE))</f>
        <v/>
      </c>
      <c r="V56" s="286" t="str">
        <f>IF($C56="","",VLOOKUP($C56,CTPit!$E$10:$BG$172,V$49,FALSE))</f>
        <v/>
      </c>
      <c r="W56" s="286" t="str">
        <f>IF($C56="","",VLOOKUP($C56,CTPit!$E$10:$BG$172,W$49,FALSE))</f>
        <v/>
      </c>
      <c r="X56" s="286" t="str">
        <f>IF($C56="","",VLOOKUP($C56,CTPit!$E$10:$BG$172,X$49,FALSE))</f>
        <v/>
      </c>
      <c r="Y56" s="287" t="str">
        <f>IF($C56="","",VLOOKUP($C56,CTPit!$E$10:$BG$172,Y$49,FALSE))</f>
        <v/>
      </c>
      <c r="Z56" s="54" t="str">
        <f>IF($C56="","",VLOOKUP($C56,CTPit!$E$10:$BG$172,Z$49,FALSE))</f>
        <v/>
      </c>
      <c r="AA56" s="286" t="str">
        <f>IF($C56="","",VLOOKUP($C56,CTPit!$E$10:$BG$172,AA$49,FALSE))</f>
        <v/>
      </c>
      <c r="AB56" s="81" t="str">
        <f>IF($C56="","",VLOOKUP($C56,CTPit!$E$10:$BG$172,AB$49,FALSE))</f>
        <v/>
      </c>
      <c r="AC56" s="68" t="str">
        <f>IF($C56="","",VLOOKUP($C56,CTPit!$E$10:$BG$172,AC$49,FALSE))</f>
        <v/>
      </c>
      <c r="AD56" s="286" t="str">
        <f>IF($C56="","",VLOOKUP($C56,CTPit!$E$10:$BG$172,AD$49,FALSE))</f>
        <v/>
      </c>
      <c r="AE56" s="286" t="str">
        <f>IF($C56="","",VLOOKUP($C56,CTPit!$E$10:$BG$172,AE$49,FALSE))</f>
        <v/>
      </c>
      <c r="AF56" s="287" t="str">
        <f>IF($C56="","",VLOOKUP($C56,CTPit!$E$10:$BG$172,AF$49,FALSE))</f>
        <v/>
      </c>
      <c r="AG56" s="68" t="str">
        <f>IF($C56="","",VLOOKUP($C56,CTPit!$E$10:$BG$172,AG$49,FALSE))</f>
        <v/>
      </c>
    </row>
    <row r="57" spans="1:33">
      <c r="Z57" s="288"/>
      <c r="AA57" s="288"/>
      <c r="AB57" s="288"/>
    </row>
    <row r="58" spans="1:33" ht="57">
      <c r="A58" s="25" t="s">
        <v>196</v>
      </c>
      <c r="B58" s="283" t="s">
        <v>131</v>
      </c>
      <c r="C58" s="44" t="s">
        <v>121</v>
      </c>
      <c r="D58" s="44" t="s">
        <v>94</v>
      </c>
      <c r="E58" s="44" t="s">
        <v>105</v>
      </c>
      <c r="F58" s="55" t="s">
        <v>193</v>
      </c>
      <c r="G58" s="47" t="s">
        <v>194</v>
      </c>
      <c r="H58" s="56" t="s">
        <v>195</v>
      </c>
      <c r="I58" s="76" t="s">
        <v>217</v>
      </c>
      <c r="J58" s="47" t="s">
        <v>192</v>
      </c>
      <c r="K58" s="79" t="s">
        <v>189</v>
      </c>
      <c r="L58" s="74" t="s">
        <v>190</v>
      </c>
      <c r="M58" s="75" t="s">
        <v>191</v>
      </c>
      <c r="N58" s="74" t="s">
        <v>63</v>
      </c>
      <c r="O58" s="74" t="s">
        <v>65</v>
      </c>
      <c r="P58" s="74" t="s">
        <v>67</v>
      </c>
      <c r="Q58" s="74" t="s">
        <v>69</v>
      </c>
      <c r="R58" s="74" t="s">
        <v>71</v>
      </c>
      <c r="S58" s="74" t="s">
        <v>111</v>
      </c>
      <c r="T58" s="74" t="s">
        <v>74</v>
      </c>
      <c r="U58" s="74" t="s">
        <v>76</v>
      </c>
      <c r="V58" s="74" t="s">
        <v>78</v>
      </c>
      <c r="W58" s="74" t="s">
        <v>80</v>
      </c>
      <c r="X58" s="74" t="s">
        <v>82</v>
      </c>
      <c r="Y58" s="75" t="s">
        <v>84</v>
      </c>
      <c r="Z58" s="79" t="s">
        <v>203</v>
      </c>
      <c r="AA58" s="74" t="s">
        <v>202</v>
      </c>
      <c r="AB58" s="75" t="s">
        <v>204</v>
      </c>
      <c r="AC58" s="319" t="s">
        <v>647</v>
      </c>
      <c r="AD58" s="74" t="s">
        <v>189</v>
      </c>
      <c r="AE58" s="74" t="s">
        <v>190</v>
      </c>
      <c r="AF58" s="75" t="s">
        <v>191</v>
      </c>
      <c r="AG58" s="319" t="s">
        <v>201</v>
      </c>
    </row>
    <row r="59" spans="1:33">
      <c r="A59">
        <v>1</v>
      </c>
      <c r="B59" s="36" t="s">
        <v>112</v>
      </c>
      <c r="C59" s="65" t="s">
        <v>455</v>
      </c>
      <c r="D59" s="37">
        <f>IF($C59="","",VLOOKUP($C59,CTPit!$E$10:$BG$214,D$4,FALSE))</f>
        <v>23</v>
      </c>
      <c r="E59" s="37" t="str">
        <f>IF($C59="","",VLOOKUP($C59,CTPit!$E$10:$BG$214,E$4+1,FALSE))</f>
        <v>R</v>
      </c>
      <c r="F59" s="53">
        <f t="shared" ref="F59:F60" si="78">IF($C59="","",IF(AG59&gt;7,1,0))</f>
        <v>0</v>
      </c>
      <c r="G59" s="288">
        <f t="shared" ref="G59:G60" si="79">IF($C59="","",IF(AG59&gt;6.5,1,0))</f>
        <v>0</v>
      </c>
      <c r="H59" s="289">
        <f t="shared" ref="H59:H60" si="80">IF($C59="","",IF(AG59&gt;6,1,0))</f>
        <v>0</v>
      </c>
      <c r="I59" s="99" t="str">
        <f>IF($C59="","",VLOOKUP($C59,CTPit!$E$10:$BG$172,I$49,FALSE))</f>
        <v>R</v>
      </c>
      <c r="J59" s="288">
        <f>IF($C59="","",COUNT(N59:Y59))</f>
        <v>2</v>
      </c>
      <c r="K59" s="53">
        <f>IF($C59="","",VLOOKUP($C59,CTPit!$E$10:$BG$172,K$49,FALSE))</f>
        <v>8</v>
      </c>
      <c r="L59" s="288">
        <f>IF($C59="","",VLOOKUP($C59,CTPit!$E$10:$BG$172,L$49,FALSE))</f>
        <v>3</v>
      </c>
      <c r="M59" s="289">
        <f>IF($C59="","",VLOOKUP($C59,CTPit!$E$10:$BG$172,M$49,FALSE))</f>
        <v>3</v>
      </c>
      <c r="N59" s="288">
        <f>IF($C59="","",VLOOKUP($C59,CTPit!$E$10:$BG$172,N$49,FALSE))</f>
        <v>8</v>
      </c>
      <c r="O59" s="288" t="str">
        <f>IF($C59="","",VLOOKUP($C59,CTPit!$E$10:$BG$172,O$49,FALSE))</f>
        <v>-</v>
      </c>
      <c r="P59" s="288">
        <f>IF($C59="","",VLOOKUP($C59,CTPit!$E$10:$BG$172,P$49,FALSE))</f>
        <v>7</v>
      </c>
      <c r="Q59" s="288" t="str">
        <f>IF($C59="","",VLOOKUP($C59,CTPit!$E$10:$BG$172,Q$49,FALSE))</f>
        <v>-</v>
      </c>
      <c r="R59" s="288" t="str">
        <f>IF($C59="","",VLOOKUP($C59,CTPit!$E$10:$BG$172,R$49,FALSE))</f>
        <v>-</v>
      </c>
      <c r="S59" s="288" t="str">
        <f>IF($C59="","",VLOOKUP($C59,CTPit!$E$10:$BG$172,S$49,FALSE))</f>
        <v>-</v>
      </c>
      <c r="T59" s="288" t="str">
        <f>IF($C59="","",VLOOKUP($C59,CTPit!$E$10:$BG$172,T$49,FALSE))</f>
        <v>-</v>
      </c>
      <c r="U59" s="288" t="str">
        <f>IF($C59="","",VLOOKUP($C59,CTPit!$E$10:$BG$172,U$49,FALSE))</f>
        <v>-</v>
      </c>
      <c r="V59" s="288" t="str">
        <f>IF($C59="","",VLOOKUP($C59,CTPit!$E$10:$BG$172,V$49,FALSE))</f>
        <v>-</v>
      </c>
      <c r="W59" s="288" t="str">
        <f>IF($C59="","",VLOOKUP($C59,CTPit!$E$10:$BG$172,W$49,FALSE))</f>
        <v>-</v>
      </c>
      <c r="X59" s="288" t="str">
        <f>IF($C59="","",VLOOKUP($C59,CTPit!$E$10:$BG$172,X$49,FALSE))</f>
        <v>-</v>
      </c>
      <c r="Y59" s="289" t="str">
        <f>IF($C59="","",VLOOKUP($C59,CTPit!$E$10:$BG$172,Y$49,FALSE))</f>
        <v>-</v>
      </c>
      <c r="Z59" s="53" t="str">
        <f>IF($C59="","",VLOOKUP($C59,CTPit!$E$10:$BG$172,Z$49,FALSE))</f>
        <v>99-101 Mph</v>
      </c>
      <c r="AA59" s="288">
        <f>IF($C59="","",VLOOKUP($C59,CTPit!$E$10:$BG$172,AA$49,FALSE))</f>
        <v>7</v>
      </c>
      <c r="AB59" s="80">
        <f>IF($C59="","",VLOOKUP($C59,CTPit!$E$10:$BG$172,AB$49,FALSE))</f>
        <v>0.35</v>
      </c>
      <c r="AC59" s="320">
        <f>IF($C59="","",VLOOKUP($C59,CTPit!$E$10:$BG$172,AC$49,FALSE))</f>
        <v>4.916666666666667</v>
      </c>
      <c r="AD59" s="288">
        <f>IF($C59="","",VLOOKUP($C59,CTPit!$E$10:$BG$172,AD$49,FALSE))</f>
        <v>9</v>
      </c>
      <c r="AE59" s="288">
        <f>IF($C59="","",VLOOKUP($C59,CTPit!$E$10:$BG$172,AE$49,FALSE))</f>
        <v>3</v>
      </c>
      <c r="AF59" s="289">
        <f>IF($C59="","",VLOOKUP($C59,CTPit!$E$10:$BG$172,AF$49,FALSE))</f>
        <v>4</v>
      </c>
      <c r="AG59" s="320">
        <f>IF($C59="","",VLOOKUP($C59,CTPit!$E$10:$BG$172,AG$49,FALSE))</f>
        <v>5.583333333333333</v>
      </c>
    </row>
    <row r="60" spans="1:33">
      <c r="A60">
        <v>2</v>
      </c>
      <c r="B60" s="39" t="s">
        <v>132</v>
      </c>
      <c r="C60" s="40"/>
      <c r="D60" s="40" t="str">
        <f>IF($C60="","",VLOOKUP($C60,CTPit!$E$10:$BG$214,D$4,FALSE))</f>
        <v/>
      </c>
      <c r="E60" s="40" t="str">
        <f>IF($C60="","",VLOOKUP($C60,CTPit!$E$10:$BG$214,E$4+1,FALSE))</f>
        <v/>
      </c>
      <c r="F60" s="54" t="str">
        <f t="shared" si="78"/>
        <v/>
      </c>
      <c r="G60" s="286" t="str">
        <f t="shared" si="79"/>
        <v/>
      </c>
      <c r="H60" s="287" t="str">
        <f t="shared" si="80"/>
        <v/>
      </c>
      <c r="I60" s="101" t="str">
        <f>IF($C60="","",VLOOKUP($C60,CTPit!$E$10:$BG$172,I$49,FALSE))</f>
        <v/>
      </c>
      <c r="J60" s="286" t="str">
        <f>IF($C60="","",COUNT(N60:Y60))</f>
        <v/>
      </c>
      <c r="K60" s="54" t="str">
        <f>IF($C60="","",VLOOKUP($C60,CTPit!$E$10:$BG$172,K$49,FALSE))</f>
        <v/>
      </c>
      <c r="L60" s="286" t="str">
        <f>IF($C60="","",VLOOKUP($C60,CTPit!$E$10:$BG$172,L$49,FALSE))</f>
        <v/>
      </c>
      <c r="M60" s="287" t="str">
        <f>IF($C60="","",VLOOKUP($C60,CTPit!$E$10:$BG$172,M$49,FALSE))</f>
        <v/>
      </c>
      <c r="N60" s="286" t="str">
        <f>IF($C60="","",VLOOKUP($C60,CTPit!$E$10:$BG$172,N$49,FALSE))</f>
        <v/>
      </c>
      <c r="O60" s="286" t="str">
        <f>IF($C60="","",VLOOKUP($C60,CTPit!$E$10:$BG$172,O$49,FALSE))</f>
        <v/>
      </c>
      <c r="P60" s="286" t="str">
        <f>IF($C60="","",VLOOKUP($C60,CTPit!$E$10:$BG$172,P$49,FALSE))</f>
        <v/>
      </c>
      <c r="Q60" s="286" t="str">
        <f>IF($C60="","",VLOOKUP($C60,CTPit!$E$10:$BG$172,Q$49,FALSE))</f>
        <v/>
      </c>
      <c r="R60" s="286" t="str">
        <f>IF($C60="","",VLOOKUP($C60,CTPit!$E$10:$BG$172,R$49,FALSE))</f>
        <v/>
      </c>
      <c r="S60" s="286" t="str">
        <f>IF($C60="","",VLOOKUP($C60,CTPit!$E$10:$BG$172,S$49,FALSE))</f>
        <v/>
      </c>
      <c r="T60" s="286" t="str">
        <f>IF($C60="","",VLOOKUP($C60,CTPit!$E$10:$BG$172,T$49,FALSE))</f>
        <v/>
      </c>
      <c r="U60" s="286" t="str">
        <f>IF($C60="","",VLOOKUP($C60,CTPit!$E$10:$BG$172,U$49,FALSE))</f>
        <v/>
      </c>
      <c r="V60" s="286" t="str">
        <f>IF($C60="","",VLOOKUP($C60,CTPit!$E$10:$BG$172,V$49,FALSE))</f>
        <v/>
      </c>
      <c r="W60" s="286" t="str">
        <f>IF($C60="","",VLOOKUP($C60,CTPit!$E$10:$BG$172,W$49,FALSE))</f>
        <v/>
      </c>
      <c r="X60" s="286" t="str">
        <f>IF($C60="","",VLOOKUP($C60,CTPit!$E$10:$BG$172,X$49,FALSE))</f>
        <v/>
      </c>
      <c r="Y60" s="287" t="str">
        <f>IF($C60="","",VLOOKUP($C60,CTPit!$E$10:$BG$172,Y$49,FALSE))</f>
        <v/>
      </c>
      <c r="Z60" s="54" t="str">
        <f>IF($C60="","",VLOOKUP($C60,CTPit!$E$10:$BG$172,Z$49,FALSE))</f>
        <v/>
      </c>
      <c r="AA60" s="286" t="str">
        <f>IF($C60="","",VLOOKUP($C60,CTPit!$E$10:$BG$172,AA$49,FALSE))</f>
        <v/>
      </c>
      <c r="AB60" s="81" t="str">
        <f>IF($C60="","",VLOOKUP($C60,CTPit!$E$10:$BG$172,AB$49,FALSE))</f>
        <v/>
      </c>
      <c r="AC60" s="68" t="str">
        <f>IF($C60="","",VLOOKUP($C60,CTPit!$E$10:$BG$172,AC$49,FALSE))</f>
        <v/>
      </c>
      <c r="AD60" s="286" t="str">
        <f>IF($C60="","",VLOOKUP($C60,CTPit!$E$10:$BG$172,AD$49,FALSE))</f>
        <v/>
      </c>
      <c r="AE60" s="286" t="str">
        <f>IF($C60="","",VLOOKUP($C60,CTPit!$E$10:$BG$172,AE$49,FALSE))</f>
        <v/>
      </c>
      <c r="AF60" s="287" t="str">
        <f>IF($C60="","",VLOOKUP($C60,CTPit!$E$10:$BG$172,AF$49,FALSE))</f>
        <v/>
      </c>
      <c r="AG60" s="68" t="str">
        <f>IF($C60="","",VLOOKUP($C60,CTPit!$E$10:$BG$172,AG$49,FALSE))</f>
        <v/>
      </c>
    </row>
    <row r="61" spans="1:33">
      <c r="Z61" s="288"/>
      <c r="AA61" s="288"/>
      <c r="AB61" s="288"/>
    </row>
    <row r="62" spans="1:33" ht="57">
      <c r="A62" s="25" t="s">
        <v>196</v>
      </c>
      <c r="B62" s="283" t="s">
        <v>133</v>
      </c>
      <c r="C62" s="44" t="s">
        <v>121</v>
      </c>
      <c r="D62" s="44" t="s">
        <v>94</v>
      </c>
      <c r="E62" s="44" t="s">
        <v>105</v>
      </c>
      <c r="F62" s="55" t="s">
        <v>193</v>
      </c>
      <c r="G62" s="47" t="s">
        <v>194</v>
      </c>
      <c r="H62" s="56" t="s">
        <v>195</v>
      </c>
      <c r="I62" s="76" t="s">
        <v>217</v>
      </c>
      <c r="J62" s="47" t="s">
        <v>192</v>
      </c>
      <c r="K62" s="79" t="s">
        <v>189</v>
      </c>
      <c r="L62" s="74" t="s">
        <v>190</v>
      </c>
      <c r="M62" s="75" t="s">
        <v>191</v>
      </c>
      <c r="N62" s="74" t="s">
        <v>63</v>
      </c>
      <c r="O62" s="74" t="s">
        <v>65</v>
      </c>
      <c r="P62" s="74" t="s">
        <v>67</v>
      </c>
      <c r="Q62" s="74" t="s">
        <v>69</v>
      </c>
      <c r="R62" s="74" t="s">
        <v>71</v>
      </c>
      <c r="S62" s="74" t="s">
        <v>111</v>
      </c>
      <c r="T62" s="74" t="s">
        <v>74</v>
      </c>
      <c r="U62" s="74" t="s">
        <v>76</v>
      </c>
      <c r="V62" s="74" t="s">
        <v>78</v>
      </c>
      <c r="W62" s="74" t="s">
        <v>80</v>
      </c>
      <c r="X62" s="74" t="s">
        <v>82</v>
      </c>
      <c r="Y62" s="75" t="s">
        <v>84</v>
      </c>
      <c r="Z62" s="79" t="s">
        <v>203</v>
      </c>
      <c r="AA62" s="74" t="s">
        <v>202</v>
      </c>
      <c r="AB62" s="75" t="s">
        <v>204</v>
      </c>
      <c r="AC62" s="319" t="s">
        <v>647</v>
      </c>
      <c r="AD62" s="74" t="s">
        <v>189</v>
      </c>
      <c r="AE62" s="74" t="s">
        <v>190</v>
      </c>
      <c r="AF62" s="75" t="s">
        <v>191</v>
      </c>
      <c r="AG62" s="319" t="s">
        <v>201</v>
      </c>
    </row>
    <row r="63" spans="1:33">
      <c r="A63">
        <v>1</v>
      </c>
      <c r="B63" s="36" t="s">
        <v>134</v>
      </c>
      <c r="C63" s="37" t="s">
        <v>573</v>
      </c>
      <c r="D63" s="37">
        <f>IF($C63="","",VLOOKUP($C63,CTPit!$E$10:$BG$214,D$4,FALSE))</f>
        <v>35</v>
      </c>
      <c r="E63" s="37" t="str">
        <f>IF($C63="","",VLOOKUP($C63,CTPit!$E$10:$BG$214,E$4+1,FALSE))</f>
        <v>L</v>
      </c>
      <c r="F63" s="53">
        <f t="shared" ref="F63:F72" si="81">IF($C63="","",IF(AG63&gt;7,1,0))</f>
        <v>0</v>
      </c>
      <c r="G63" s="288">
        <f t="shared" ref="G63:G72" si="82">IF($C63="","",IF(AG63&gt;6.5,1,0))</f>
        <v>0</v>
      </c>
      <c r="H63" s="289">
        <f t="shared" ref="H63:H72" si="83">IF($C63="","",IF(AG63&gt;6,1,0))</f>
        <v>0</v>
      </c>
      <c r="I63" s="100" t="str">
        <f>IF($C63="","",VLOOKUP($C63,CTPit!$E$10:$BG$172,I$49,FALSE))</f>
        <v>L</v>
      </c>
      <c r="J63" s="288">
        <f t="shared" ref="J63:J72" si="84">IF($C63="","",COUNT(N63:Y63))</f>
        <v>3</v>
      </c>
      <c r="K63" s="53">
        <f>IF($C63="","",VLOOKUP($C63,CTPit!$E$10:$BG$172,K$49,FALSE))</f>
        <v>4</v>
      </c>
      <c r="L63" s="288">
        <f>IF($C63="","",VLOOKUP($C63,CTPit!$E$10:$BG$172,L$49,FALSE))</f>
        <v>5</v>
      </c>
      <c r="M63" s="289">
        <f>IF($C63="","",VLOOKUP($C63,CTPit!$E$10:$BG$172,M$49,FALSE))</f>
        <v>7</v>
      </c>
      <c r="N63" s="288">
        <f>IF($C63="","",VLOOKUP($C63,CTPit!$E$10:$BG$172,N$49,FALSE))</f>
        <v>4</v>
      </c>
      <c r="O63" s="288">
        <f>IF($C63="","",VLOOKUP($C63,CTPit!$E$10:$BG$172,O$49,FALSE))</f>
        <v>3</v>
      </c>
      <c r="P63" s="288" t="str">
        <f>IF($C63="","",VLOOKUP($C63,CTPit!$E$10:$BG$172,P$49,FALSE))</f>
        <v>-</v>
      </c>
      <c r="Q63" s="288">
        <f>IF($C63="","",VLOOKUP($C63,CTPit!$E$10:$BG$172,Q$49,FALSE))</f>
        <v>3</v>
      </c>
      <c r="R63" s="288" t="str">
        <f>IF($C63="","",VLOOKUP($C63,CTPit!$E$10:$BG$172,R$49,FALSE))</f>
        <v>-</v>
      </c>
      <c r="S63" s="288" t="str">
        <f>IF($C63="","",VLOOKUP($C63,CTPit!$E$10:$BG$172,S$49,FALSE))</f>
        <v>-</v>
      </c>
      <c r="T63" s="288" t="str">
        <f>IF($C63="","",VLOOKUP($C63,CTPit!$E$10:$BG$172,T$49,FALSE))</f>
        <v>-</v>
      </c>
      <c r="U63" s="288" t="str">
        <f>IF($C63="","",VLOOKUP($C63,CTPit!$E$10:$BG$172,U$49,FALSE))</f>
        <v>-</v>
      </c>
      <c r="V63" s="288" t="str">
        <f>IF($C63="","",VLOOKUP($C63,CTPit!$E$10:$BG$172,V$49,FALSE))</f>
        <v>-</v>
      </c>
      <c r="W63" s="288" t="str">
        <f>IF($C63="","",VLOOKUP($C63,CTPit!$E$10:$BG$172,W$49,FALSE))</f>
        <v>-</v>
      </c>
      <c r="X63" s="288" t="str">
        <f>IF($C63="","",VLOOKUP($C63,CTPit!$E$10:$BG$172,X$49,FALSE))</f>
        <v>-</v>
      </c>
      <c r="Y63" s="289" t="str">
        <f>IF($C63="","",VLOOKUP($C63,CTPit!$E$10:$BG$172,Y$49,FALSE))</f>
        <v>-</v>
      </c>
      <c r="Z63" s="53" t="str">
        <f>IF($C63="","",VLOOKUP($C63,CTPit!$E$10:$BG$172,Z$49,FALSE))</f>
        <v>86-88 Mph</v>
      </c>
      <c r="AA63" s="288">
        <f>IF($C63="","",VLOOKUP($C63,CTPit!$E$10:$BG$172,AA$49,FALSE))</f>
        <v>5</v>
      </c>
      <c r="AB63" s="80">
        <f>IF($C63="","",VLOOKUP($C63,CTPit!$E$10:$BG$172,AB$49,FALSE))</f>
        <v>0.44</v>
      </c>
      <c r="AC63" s="320">
        <f>IF($C63="","",VLOOKUP($C63,CTPit!$E$10:$BG$172,AC$49,FALSE))</f>
        <v>5.333333333333333</v>
      </c>
      <c r="AD63" s="288">
        <f>IF($C63="","",VLOOKUP($C63,CTPit!$E$10:$BG$172,AD$49,FALSE))</f>
        <v>4</v>
      </c>
      <c r="AE63" s="288">
        <f>IF($C63="","",VLOOKUP($C63,CTPit!$E$10:$BG$172,AE$49,FALSE))</f>
        <v>6</v>
      </c>
      <c r="AF63" s="289">
        <f>IF($C63="","",VLOOKUP($C63,CTPit!$E$10:$BG$172,AF$49,FALSE))</f>
        <v>7</v>
      </c>
      <c r="AG63" s="320">
        <f>IF($C63="","",VLOOKUP($C63,CTPit!$E$10:$BG$172,AG$49,FALSE))</f>
        <v>5.666666666666667</v>
      </c>
    </row>
    <row r="64" spans="1:33">
      <c r="A64">
        <v>2</v>
      </c>
      <c r="B64" s="36" t="s">
        <v>135</v>
      </c>
      <c r="C64" s="65" t="s">
        <v>458</v>
      </c>
      <c r="D64" s="37">
        <f>IF($C64="","",VLOOKUP($C64,CTPit!$E$10:$BG$214,D$4,FALSE))</f>
        <v>23</v>
      </c>
      <c r="E64" s="37" t="str">
        <f>IF($C64="","",VLOOKUP($C64,CTPit!$E$10:$BG$214,E$4+1,FALSE))</f>
        <v>R</v>
      </c>
      <c r="F64" s="53">
        <f t="shared" si="81"/>
        <v>0</v>
      </c>
      <c r="G64" s="288">
        <f t="shared" si="82"/>
        <v>0</v>
      </c>
      <c r="H64" s="289">
        <f t="shared" si="83"/>
        <v>0</v>
      </c>
      <c r="I64" s="100" t="str">
        <f>IF($C64="","",VLOOKUP($C64,CTPit!$E$10:$BG$172,I$49,FALSE))</f>
        <v>R</v>
      </c>
      <c r="J64" s="288">
        <f t="shared" si="84"/>
        <v>2</v>
      </c>
      <c r="K64" s="53">
        <f>IF($C64="","",VLOOKUP($C64,CTPit!$E$10:$BG$172,K$49,FALSE))</f>
        <v>5</v>
      </c>
      <c r="L64" s="288">
        <f>IF($C64="","",VLOOKUP($C64,CTPit!$E$10:$BG$172,L$49,FALSE))</f>
        <v>7</v>
      </c>
      <c r="M64" s="289">
        <f>IF($C64="","",VLOOKUP($C64,CTPit!$E$10:$BG$172,M$49,FALSE))</f>
        <v>2</v>
      </c>
      <c r="N64" s="288">
        <f>IF($C64="","",VLOOKUP($C64,CTPit!$E$10:$BG$172,N$49,FALSE))</f>
        <v>7</v>
      </c>
      <c r="O64" s="288">
        <f>IF($C64="","",VLOOKUP($C64,CTPit!$E$10:$BG$172,O$49,FALSE))</f>
        <v>2</v>
      </c>
      <c r="P64" s="288" t="str">
        <f>IF($C64="","",VLOOKUP($C64,CTPit!$E$10:$BG$172,P$49,FALSE))</f>
        <v>-</v>
      </c>
      <c r="Q64" s="288" t="str">
        <f>IF($C64="","",VLOOKUP($C64,CTPit!$E$10:$BG$172,Q$49,FALSE))</f>
        <v>-</v>
      </c>
      <c r="R64" s="288" t="str">
        <f>IF($C64="","",VLOOKUP($C64,CTPit!$E$10:$BG$172,R$49,FALSE))</f>
        <v>-</v>
      </c>
      <c r="S64" s="288" t="str">
        <f>IF($C64="","",VLOOKUP($C64,CTPit!$E$10:$BG$172,S$49,FALSE))</f>
        <v>-</v>
      </c>
      <c r="T64" s="288" t="str">
        <f>IF($C64="","",VLOOKUP($C64,CTPit!$E$10:$BG$172,T$49,FALSE))</f>
        <v>-</v>
      </c>
      <c r="U64" s="288" t="str">
        <f>IF($C64="","",VLOOKUP($C64,CTPit!$E$10:$BG$172,U$49,FALSE))</f>
        <v>-</v>
      </c>
      <c r="V64" s="288" t="str">
        <f>IF($C64="","",VLOOKUP($C64,CTPit!$E$10:$BG$172,V$49,FALSE))</f>
        <v>-</v>
      </c>
      <c r="W64" s="288" t="str">
        <f>IF($C64="","",VLOOKUP($C64,CTPit!$E$10:$BG$172,W$49,FALSE))</f>
        <v>-</v>
      </c>
      <c r="X64" s="288" t="str">
        <f>IF($C64="","",VLOOKUP($C64,CTPit!$E$10:$BG$172,X$49,FALSE))</f>
        <v>-</v>
      </c>
      <c r="Y64" s="289" t="str">
        <f>IF($C64="","",VLOOKUP($C64,CTPit!$E$10:$BG$172,Y$49,FALSE))</f>
        <v>-</v>
      </c>
      <c r="Z64" s="53" t="str">
        <f>IF($C64="","",VLOOKUP($C64,CTPit!$E$10:$BG$172,Z$49,FALSE))</f>
        <v>96-98 Mph</v>
      </c>
      <c r="AA64" s="288">
        <f>IF($C64="","",VLOOKUP($C64,CTPit!$E$10:$BG$172,AA$49,FALSE))</f>
        <v>1</v>
      </c>
      <c r="AB64" s="80">
        <f>IF($C64="","",VLOOKUP($C64,CTPit!$E$10:$BG$172,AB$49,FALSE))</f>
        <v>0.63</v>
      </c>
      <c r="AC64" s="67">
        <f>IF($C64="","",VLOOKUP($C64,CTPit!$E$10:$BG$172,AC$49,FALSE))</f>
        <v>5.166666666666667</v>
      </c>
      <c r="AD64" s="288">
        <f>IF($C64="","",VLOOKUP($C64,CTPit!$E$10:$BG$172,AD$49,FALSE))</f>
        <v>5</v>
      </c>
      <c r="AE64" s="288">
        <f>IF($C64="","",VLOOKUP($C64,CTPit!$E$10:$BG$172,AE$49,FALSE))</f>
        <v>7</v>
      </c>
      <c r="AF64" s="289">
        <f>IF($C64="","",VLOOKUP($C64,CTPit!$E$10:$BG$172,AF$49,FALSE))</f>
        <v>4</v>
      </c>
      <c r="AG64" s="67">
        <f>IF($C64="","",VLOOKUP($C64,CTPit!$E$10:$BG$172,AG$49,FALSE))</f>
        <v>5.833333333333333</v>
      </c>
    </row>
    <row r="65" spans="1:33">
      <c r="A65">
        <v>3</v>
      </c>
      <c r="B65" s="36" t="s">
        <v>19</v>
      </c>
      <c r="C65" s="65" t="s">
        <v>422</v>
      </c>
      <c r="D65" s="37">
        <f>IF($C65="","",VLOOKUP($C65,CTPit!$E$10:$BG$214,D$4,FALSE))</f>
        <v>24</v>
      </c>
      <c r="E65" s="37" t="str">
        <f>IF($C65="","",VLOOKUP($C65,CTPit!$E$10:$BG$214,E$4+1,FALSE))</f>
        <v>R</v>
      </c>
      <c r="F65" s="53">
        <f t="shared" si="81"/>
        <v>0</v>
      </c>
      <c r="G65" s="288">
        <f t="shared" si="82"/>
        <v>0</v>
      </c>
      <c r="H65" s="289">
        <f t="shared" si="83"/>
        <v>0</v>
      </c>
      <c r="I65" s="100" t="str">
        <f>IF($C65="","",VLOOKUP($C65,CTPit!$E$10:$BG$172,I$49,FALSE))</f>
        <v>R</v>
      </c>
      <c r="J65" s="288">
        <f t="shared" si="84"/>
        <v>2</v>
      </c>
      <c r="K65" s="53">
        <f>IF($C65="","",VLOOKUP($C65,CTPit!$E$10:$BG$172,K$49,FALSE))</f>
        <v>5</v>
      </c>
      <c r="L65" s="288">
        <f>IF($C65="","",VLOOKUP($C65,CTPit!$E$10:$BG$172,L$49,FALSE))</f>
        <v>4</v>
      </c>
      <c r="M65" s="289">
        <f>IF($C65="","",VLOOKUP($C65,CTPit!$E$10:$BG$172,M$49,FALSE))</f>
        <v>3</v>
      </c>
      <c r="N65" s="288">
        <f>IF($C65="","",VLOOKUP($C65,CTPit!$E$10:$BG$172,N$49,FALSE))</f>
        <v>6</v>
      </c>
      <c r="O65" s="288" t="str">
        <f>IF($C65="","",VLOOKUP($C65,CTPit!$E$10:$BG$172,O$49,FALSE))</f>
        <v>-</v>
      </c>
      <c r="P65" s="288">
        <f>IF($C65="","",VLOOKUP($C65,CTPit!$E$10:$BG$172,P$49,FALSE))</f>
        <v>4</v>
      </c>
      <c r="Q65" s="288" t="str">
        <f>IF($C65="","",VLOOKUP($C65,CTPit!$E$10:$BG$172,Q$49,FALSE))</f>
        <v>-</v>
      </c>
      <c r="R65" s="288" t="str">
        <f>IF($C65="","",VLOOKUP($C65,CTPit!$E$10:$BG$172,R$49,FALSE))</f>
        <v>-</v>
      </c>
      <c r="S65" s="288" t="str">
        <f>IF($C65="","",VLOOKUP($C65,CTPit!$E$10:$BG$172,S$49,FALSE))</f>
        <v>-</v>
      </c>
      <c r="T65" s="288" t="str">
        <f>IF($C65="","",VLOOKUP($C65,CTPit!$E$10:$BG$172,T$49,FALSE))</f>
        <v>-</v>
      </c>
      <c r="U65" s="288" t="str">
        <f>IF($C65="","",VLOOKUP($C65,CTPit!$E$10:$BG$172,U$49,FALSE))</f>
        <v>-</v>
      </c>
      <c r="V65" s="288" t="str">
        <f>IF($C65="","",VLOOKUP($C65,CTPit!$E$10:$BG$172,V$49,FALSE))</f>
        <v>-</v>
      </c>
      <c r="W65" s="288" t="str">
        <f>IF($C65="","",VLOOKUP($C65,CTPit!$E$10:$BG$172,W$49,FALSE))</f>
        <v>-</v>
      </c>
      <c r="X65" s="288" t="str">
        <f>IF($C65="","",VLOOKUP($C65,CTPit!$E$10:$BG$172,X$49,FALSE))</f>
        <v>-</v>
      </c>
      <c r="Y65" s="289" t="str">
        <f>IF($C65="","",VLOOKUP($C65,CTPit!$E$10:$BG$172,Y$49,FALSE))</f>
        <v>-</v>
      </c>
      <c r="Z65" s="53" t="str">
        <f>IF($C65="","",VLOOKUP($C65,CTPit!$E$10:$BG$172,Z$49,FALSE))</f>
        <v>93-95 Mph</v>
      </c>
      <c r="AA65" s="288">
        <f>IF($C65="","",VLOOKUP($C65,CTPit!$E$10:$BG$172,AA$49,FALSE))</f>
        <v>3</v>
      </c>
      <c r="AB65" s="80">
        <f>IF($C65="","",VLOOKUP($C65,CTPit!$E$10:$BG$172,AB$49,FALSE))</f>
        <v>0.37</v>
      </c>
      <c r="AC65" s="67">
        <f>IF($C65="","",VLOOKUP($C65,CTPit!$E$10:$BG$172,AC$49,FALSE))</f>
        <v>4.25</v>
      </c>
      <c r="AD65" s="288">
        <f>IF($C65="","",VLOOKUP($C65,CTPit!$E$10:$BG$172,AD$49,FALSE))</f>
        <v>5</v>
      </c>
      <c r="AE65" s="288">
        <f>IF($C65="","",VLOOKUP($C65,CTPit!$E$10:$BG$172,AE$49,FALSE))</f>
        <v>4</v>
      </c>
      <c r="AF65" s="289">
        <f>IF($C65="","",VLOOKUP($C65,CTPit!$E$10:$BG$172,AF$49,FALSE))</f>
        <v>4</v>
      </c>
      <c r="AG65" s="67">
        <f>IF($C65="","",VLOOKUP($C65,CTPit!$E$10:$BG$172,AG$49,FALSE))</f>
        <v>4.583333333333333</v>
      </c>
    </row>
    <row r="66" spans="1:33">
      <c r="A66">
        <v>4</v>
      </c>
      <c r="B66" s="36" t="s">
        <v>19</v>
      </c>
      <c r="C66" s="65" t="s">
        <v>436</v>
      </c>
      <c r="D66" s="37">
        <f>IF($C66="","",VLOOKUP($C66,CTPit!$E$10:$BG$214,D$4,FALSE))</f>
        <v>23</v>
      </c>
      <c r="E66" s="37" t="str">
        <f>IF($C66="","",VLOOKUP($C66,CTPit!$E$10:$BG$214,E$4+1,FALSE))</f>
        <v>L</v>
      </c>
      <c r="F66" s="53">
        <f t="shared" si="81"/>
        <v>0</v>
      </c>
      <c r="G66" s="288">
        <f t="shared" si="82"/>
        <v>0</v>
      </c>
      <c r="H66" s="289">
        <f t="shared" si="83"/>
        <v>0</v>
      </c>
      <c r="I66" s="100" t="str">
        <f>IF($C66="","",VLOOKUP($C66,CTPit!$E$10:$BG$172,I$49,FALSE))</f>
        <v>L</v>
      </c>
      <c r="J66" s="288">
        <f t="shared" si="84"/>
        <v>2</v>
      </c>
      <c r="K66" s="53">
        <f>IF($C66="","",VLOOKUP($C66,CTPit!$E$10:$BG$172,K$49,FALSE))</f>
        <v>6</v>
      </c>
      <c r="L66" s="288">
        <f>IF($C66="","",VLOOKUP($C66,CTPit!$E$10:$BG$172,L$49,FALSE))</f>
        <v>3</v>
      </c>
      <c r="M66" s="289">
        <f>IF($C66="","",VLOOKUP($C66,CTPit!$E$10:$BG$172,M$49,FALSE))</f>
        <v>2</v>
      </c>
      <c r="N66" s="288">
        <f>IF($C66="","",VLOOKUP($C66,CTPit!$E$10:$BG$172,N$49,FALSE))</f>
        <v>8</v>
      </c>
      <c r="O66" s="288" t="str">
        <f>IF($C66="","",VLOOKUP($C66,CTPit!$E$10:$BG$172,O$49,FALSE))</f>
        <v>-</v>
      </c>
      <c r="P66" s="288" t="str">
        <f>IF($C66="","",VLOOKUP($C66,CTPit!$E$10:$BG$172,P$49,FALSE))</f>
        <v>-</v>
      </c>
      <c r="Q66" s="288">
        <f>IF($C66="","",VLOOKUP($C66,CTPit!$E$10:$BG$172,Q$49,FALSE))</f>
        <v>5</v>
      </c>
      <c r="R66" s="288" t="str">
        <f>IF($C66="","",VLOOKUP($C66,CTPit!$E$10:$BG$172,R$49,FALSE))</f>
        <v>-</v>
      </c>
      <c r="S66" s="288" t="str">
        <f>IF($C66="","",VLOOKUP($C66,CTPit!$E$10:$BG$172,S$49,FALSE))</f>
        <v>-</v>
      </c>
      <c r="T66" s="288" t="str">
        <f>IF($C66="","",VLOOKUP($C66,CTPit!$E$10:$BG$172,T$49,FALSE))</f>
        <v>-</v>
      </c>
      <c r="U66" s="288" t="str">
        <f>IF($C66="","",VLOOKUP($C66,CTPit!$E$10:$BG$172,U$49,FALSE))</f>
        <v>-</v>
      </c>
      <c r="V66" s="288" t="str">
        <f>IF($C66="","",VLOOKUP($C66,CTPit!$E$10:$BG$172,V$49,FALSE))</f>
        <v>-</v>
      </c>
      <c r="W66" s="288" t="str">
        <f>IF($C66="","",VLOOKUP($C66,CTPit!$E$10:$BG$172,W$49,FALSE))</f>
        <v>-</v>
      </c>
      <c r="X66" s="288" t="str">
        <f>IF($C66="","",VLOOKUP($C66,CTPit!$E$10:$BG$172,X$49,FALSE))</f>
        <v>-</v>
      </c>
      <c r="Y66" s="289" t="str">
        <f>IF($C66="","",VLOOKUP($C66,CTPit!$E$10:$BG$172,Y$49,FALSE))</f>
        <v>-</v>
      </c>
      <c r="Z66" s="53" t="str">
        <f>IF($C66="","",VLOOKUP($C66,CTPit!$E$10:$BG$172,Z$49,FALSE))</f>
        <v>95-97 Mph</v>
      </c>
      <c r="AA66" s="288">
        <f>IF($C66="","",VLOOKUP($C66,CTPit!$E$10:$BG$172,AA$49,FALSE))</f>
        <v>5</v>
      </c>
      <c r="AB66" s="80">
        <f>IF($C66="","",VLOOKUP($C66,CTPit!$E$10:$BG$172,AB$49,FALSE))</f>
        <v>0.44</v>
      </c>
      <c r="AC66" s="67">
        <f>IF($C66="","",VLOOKUP($C66,CTPit!$E$10:$BG$172,AC$49,FALSE))</f>
        <v>3.9166666666666665</v>
      </c>
      <c r="AD66" s="288">
        <f>IF($C66="","",VLOOKUP($C66,CTPit!$E$10:$BG$172,AD$49,FALSE))</f>
        <v>6</v>
      </c>
      <c r="AE66" s="288">
        <f>IF($C66="","",VLOOKUP($C66,CTPit!$E$10:$BG$172,AE$49,FALSE))</f>
        <v>3</v>
      </c>
      <c r="AF66" s="289">
        <f>IF($C66="","",VLOOKUP($C66,CTPit!$E$10:$BG$172,AF$49,FALSE))</f>
        <v>3</v>
      </c>
      <c r="AG66" s="67">
        <f>IF($C66="","",VLOOKUP($C66,CTPit!$E$10:$BG$172,AG$49,FALSE))</f>
        <v>4.25</v>
      </c>
    </row>
    <row r="67" spans="1:33">
      <c r="A67">
        <v>5</v>
      </c>
      <c r="B67" s="36" t="s">
        <v>19</v>
      </c>
      <c r="C67" s="65" t="s">
        <v>411</v>
      </c>
      <c r="D67" s="37">
        <f>IF($C67="","",VLOOKUP($C67,CTPit!$E$10:$BG$214,D$4,FALSE))</f>
        <v>20</v>
      </c>
      <c r="E67" s="37" t="str">
        <f>IF($C67="","",VLOOKUP($C67,CTPit!$E$10:$BG$214,E$4+1,FALSE))</f>
        <v>R</v>
      </c>
      <c r="F67" s="53">
        <f t="shared" si="81"/>
        <v>0</v>
      </c>
      <c r="G67" s="288">
        <f t="shared" si="82"/>
        <v>0</v>
      </c>
      <c r="H67" s="289">
        <f t="shared" si="83"/>
        <v>0</v>
      </c>
      <c r="I67" s="100" t="str">
        <f>IF($C67="","",VLOOKUP($C67,CTPit!$E$10:$BG$172,I$49,FALSE))</f>
        <v>R</v>
      </c>
      <c r="J67" s="288">
        <f t="shared" si="84"/>
        <v>4</v>
      </c>
      <c r="K67" s="53">
        <f>IF($C67="","",VLOOKUP($C67,CTPit!$E$10:$BG$172,K$49,FALSE))</f>
        <v>5</v>
      </c>
      <c r="L67" s="288">
        <f>IF($C67="","",VLOOKUP($C67,CTPit!$E$10:$BG$172,L$49,FALSE))</f>
        <v>4</v>
      </c>
      <c r="M67" s="289">
        <f>IF($C67="","",VLOOKUP($C67,CTPit!$E$10:$BG$172,M$49,FALSE))</f>
        <v>3</v>
      </c>
      <c r="N67" s="288">
        <f>IF($C67="","",VLOOKUP($C67,CTPit!$E$10:$BG$172,N$49,FALSE))</f>
        <v>5</v>
      </c>
      <c r="O67" s="288">
        <f>IF($C67="","",VLOOKUP($C67,CTPit!$E$10:$BG$172,O$49,FALSE))</f>
        <v>5</v>
      </c>
      <c r="P67" s="288">
        <f>IF($C67="","",VLOOKUP($C67,CTPit!$E$10:$BG$172,P$49,FALSE))</f>
        <v>4</v>
      </c>
      <c r="Q67" s="288">
        <f>IF($C67="","",VLOOKUP($C67,CTPit!$E$10:$BG$172,Q$49,FALSE))</f>
        <v>5</v>
      </c>
      <c r="R67" s="288" t="str">
        <f>IF($C67="","",VLOOKUP($C67,CTPit!$E$10:$BG$172,R$49,FALSE))</f>
        <v>-</v>
      </c>
      <c r="S67" s="288" t="str">
        <f>IF($C67="","",VLOOKUP($C67,CTPit!$E$10:$BG$172,S$49,FALSE))</f>
        <v>-</v>
      </c>
      <c r="T67" s="288" t="str">
        <f>IF($C67="","",VLOOKUP($C67,CTPit!$E$10:$BG$172,T$49,FALSE))</f>
        <v>-</v>
      </c>
      <c r="U67" s="288" t="str">
        <f>IF($C67="","",VLOOKUP($C67,CTPit!$E$10:$BG$172,U$49,FALSE))</f>
        <v>-</v>
      </c>
      <c r="V67" s="288" t="str">
        <f>IF($C67="","",VLOOKUP($C67,CTPit!$E$10:$BG$172,V$49,FALSE))</f>
        <v>-</v>
      </c>
      <c r="W67" s="288" t="str">
        <f>IF($C67="","",VLOOKUP($C67,CTPit!$E$10:$BG$172,W$49,FALSE))</f>
        <v>-</v>
      </c>
      <c r="X67" s="288" t="str">
        <f>IF($C67="","",VLOOKUP($C67,CTPit!$E$10:$BG$172,X$49,FALSE))</f>
        <v>-</v>
      </c>
      <c r="Y67" s="289" t="str">
        <f>IF($C67="","",VLOOKUP($C67,CTPit!$E$10:$BG$172,Y$49,FALSE))</f>
        <v>-</v>
      </c>
      <c r="Z67" s="53" t="str">
        <f>IF($C67="","",VLOOKUP($C67,CTPit!$E$10:$BG$172,Z$49,FALSE))</f>
        <v>90-92 Mph</v>
      </c>
      <c r="AA67" s="288">
        <f>IF($C67="","",VLOOKUP($C67,CTPit!$E$10:$BG$172,AA$49,FALSE))</f>
        <v>9</v>
      </c>
      <c r="AB67" s="80">
        <f>IF($C67="","",VLOOKUP($C67,CTPit!$E$10:$BG$172,AB$49,FALSE))</f>
        <v>0.46</v>
      </c>
      <c r="AC67" s="67">
        <f>IF($C67="","",VLOOKUP($C67,CTPit!$E$10:$BG$172,AC$49,FALSE))</f>
        <v>4.25</v>
      </c>
      <c r="AD67" s="288">
        <f>IF($C67="","",VLOOKUP($C67,CTPit!$E$10:$BG$172,AD$49,FALSE))</f>
        <v>5</v>
      </c>
      <c r="AE67" s="288">
        <f>IF($C67="","",VLOOKUP($C67,CTPit!$E$10:$BG$172,AE$49,FALSE))</f>
        <v>5</v>
      </c>
      <c r="AF67" s="289">
        <f>IF($C67="","",VLOOKUP($C67,CTPit!$E$10:$BG$172,AF$49,FALSE))</f>
        <v>6</v>
      </c>
      <c r="AG67" s="67">
        <f>IF($C67="","",VLOOKUP($C67,CTPit!$E$10:$BG$172,AG$49,FALSE))</f>
        <v>5.583333333333333</v>
      </c>
    </row>
    <row r="68" spans="1:33">
      <c r="A68">
        <v>6</v>
      </c>
      <c r="B68" s="36" t="s">
        <v>19</v>
      </c>
      <c r="C68" s="65" t="s">
        <v>512</v>
      </c>
      <c r="D68" s="37">
        <f>IF($C68="","",VLOOKUP($C68,CTPit!$E$10:$BG$214,D$4,FALSE))</f>
        <v>22</v>
      </c>
      <c r="E68" s="37" t="str">
        <f>IF($C68="","",VLOOKUP($C68,CTPit!$E$10:$BG$214,E$4+1,FALSE))</f>
        <v>R</v>
      </c>
      <c r="F68" s="53">
        <f t="shared" si="81"/>
        <v>0</v>
      </c>
      <c r="G68" s="288">
        <f t="shared" si="82"/>
        <v>0</v>
      </c>
      <c r="H68" s="289">
        <f t="shared" si="83"/>
        <v>0</v>
      </c>
      <c r="I68" s="100" t="str">
        <f>IF($C68="","",VLOOKUP($C68,CTPit!$E$10:$BG$172,I$49,FALSE))</f>
        <v>R</v>
      </c>
      <c r="J68" s="288">
        <f t="shared" si="84"/>
        <v>6</v>
      </c>
      <c r="K68" s="53">
        <f>IF($C68="","",VLOOKUP($C68,CTPit!$E$10:$BG$172,K$49,FALSE))</f>
        <v>6</v>
      </c>
      <c r="L68" s="288">
        <f>IF($C68="","",VLOOKUP($C68,CTPit!$E$10:$BG$172,L$49,FALSE))</f>
        <v>4</v>
      </c>
      <c r="M68" s="289">
        <f>IF($C68="","",VLOOKUP($C68,CTPit!$E$10:$BG$172,M$49,FALSE))</f>
        <v>2</v>
      </c>
      <c r="N68" s="288">
        <f>IF($C68="","",VLOOKUP($C68,CTPit!$E$10:$BG$172,N$49,FALSE))</f>
        <v>6</v>
      </c>
      <c r="O68" s="288" t="str">
        <f>IF($C68="","",VLOOKUP($C68,CTPit!$E$10:$BG$172,O$49,FALSE))</f>
        <v>-</v>
      </c>
      <c r="P68" s="288">
        <f>IF($C68="","",VLOOKUP($C68,CTPit!$E$10:$BG$172,P$49,FALSE))</f>
        <v>6</v>
      </c>
      <c r="Q68" s="288">
        <f>IF($C68="","",VLOOKUP($C68,CTPit!$E$10:$BG$172,Q$49,FALSE))</f>
        <v>5</v>
      </c>
      <c r="R68" s="288" t="str">
        <f>IF($C68="","",VLOOKUP($C68,CTPit!$E$10:$BG$172,R$49,FALSE))</f>
        <v>-</v>
      </c>
      <c r="S68" s="288">
        <f>IF($C68="","",VLOOKUP($C68,CTPit!$E$10:$BG$172,S$49,FALSE))</f>
        <v>6</v>
      </c>
      <c r="T68" s="288" t="str">
        <f>IF($C68="","",VLOOKUP($C68,CTPit!$E$10:$BG$172,T$49,FALSE))</f>
        <v>-</v>
      </c>
      <c r="U68" s="288">
        <f>IF($C68="","",VLOOKUP($C68,CTPit!$E$10:$BG$172,U$49,FALSE))</f>
        <v>5</v>
      </c>
      <c r="V68" s="288">
        <f>IF($C68="","",VLOOKUP($C68,CTPit!$E$10:$BG$172,V$49,FALSE))</f>
        <v>5</v>
      </c>
      <c r="W68" s="288" t="str">
        <f>IF($C68="","",VLOOKUP($C68,CTPit!$E$10:$BG$172,W$49,FALSE))</f>
        <v>-</v>
      </c>
      <c r="X68" s="288" t="str">
        <f>IF($C68="","",VLOOKUP($C68,CTPit!$E$10:$BG$172,X$49,FALSE))</f>
        <v>-</v>
      </c>
      <c r="Y68" s="289" t="str">
        <f>IF($C68="","",VLOOKUP($C68,CTPit!$E$10:$BG$172,Y$49,FALSE))</f>
        <v>-</v>
      </c>
      <c r="Z68" s="53" t="str">
        <f>IF($C68="","",VLOOKUP($C68,CTPit!$E$10:$BG$172,Z$49,FALSE))</f>
        <v>94-96 Mph</v>
      </c>
      <c r="AA68" s="288">
        <f>IF($C68="","",VLOOKUP($C68,CTPit!$E$10:$BG$172,AA$49,FALSE))</f>
        <v>4</v>
      </c>
      <c r="AB68" s="80">
        <f>IF($C68="","",VLOOKUP($C68,CTPit!$E$10:$BG$172,AB$49,FALSE))</f>
        <v>0.53</v>
      </c>
      <c r="AC68" s="67">
        <f>IF($C68="","",VLOOKUP($C68,CTPit!$E$10:$BG$172,AC$49,FALSE))</f>
        <v>5</v>
      </c>
      <c r="AD68" s="288">
        <f>IF($C68="","",VLOOKUP($C68,CTPit!$E$10:$BG$172,AD$49,FALSE))</f>
        <v>6</v>
      </c>
      <c r="AE68" s="288">
        <f>IF($C68="","",VLOOKUP($C68,CTPit!$E$10:$BG$172,AE$49,FALSE))</f>
        <v>4</v>
      </c>
      <c r="AF68" s="289">
        <f>IF($C68="","",VLOOKUP($C68,CTPit!$E$10:$BG$172,AF$49,FALSE))</f>
        <v>4</v>
      </c>
      <c r="AG68" s="67">
        <f>IF($C68="","",VLOOKUP($C68,CTPit!$E$10:$BG$172,AG$49,FALSE))</f>
        <v>5.666666666666667</v>
      </c>
    </row>
    <row r="69" spans="1:33">
      <c r="A69">
        <v>7</v>
      </c>
      <c r="B69" s="36" t="s">
        <v>19</v>
      </c>
      <c r="C69" s="65"/>
      <c r="D69" s="37" t="str">
        <f>IF($C69="","",VLOOKUP($C69,CTPit!$E$10:$BG$214,D$4,FALSE))</f>
        <v/>
      </c>
      <c r="E69" s="37" t="str">
        <f>IF($C69="","",VLOOKUP($C69,CTPit!$E$10:$BG$214,E$4+1,FALSE))</f>
        <v/>
      </c>
      <c r="F69" s="53" t="str">
        <f t="shared" si="81"/>
        <v/>
      </c>
      <c r="G69" s="288" t="str">
        <f t="shared" si="82"/>
        <v/>
      </c>
      <c r="H69" s="289" t="str">
        <f t="shared" si="83"/>
        <v/>
      </c>
      <c r="I69" s="100" t="str">
        <f>IF($C69="","",VLOOKUP($C69,CTPit!$E$10:$BG$172,I$49,FALSE))</f>
        <v/>
      </c>
      <c r="J69" s="288" t="str">
        <f t="shared" si="84"/>
        <v/>
      </c>
      <c r="K69" s="53" t="str">
        <f>IF($C69="","",VLOOKUP($C69,CTPit!$E$10:$BG$172,K$49,FALSE))</f>
        <v/>
      </c>
      <c r="L69" s="288" t="str">
        <f>IF($C69="","",VLOOKUP($C69,CTPit!$E$10:$BG$172,L$49,FALSE))</f>
        <v/>
      </c>
      <c r="M69" s="289" t="str">
        <f>IF($C69="","",VLOOKUP($C69,CTPit!$E$10:$BG$172,M$49,FALSE))</f>
        <v/>
      </c>
      <c r="N69" s="288" t="str">
        <f>IF($C69="","",VLOOKUP($C69,CTPit!$E$10:$BG$172,N$49,FALSE))</f>
        <v/>
      </c>
      <c r="O69" s="288" t="str">
        <f>IF($C69="","",VLOOKUP($C69,CTPit!$E$10:$BG$172,O$49,FALSE))</f>
        <v/>
      </c>
      <c r="P69" s="288" t="str">
        <f>IF($C69="","",VLOOKUP($C69,CTPit!$E$10:$BG$172,P$49,FALSE))</f>
        <v/>
      </c>
      <c r="Q69" s="288" t="str">
        <f>IF($C69="","",VLOOKUP($C69,CTPit!$E$10:$BG$172,Q$49,FALSE))</f>
        <v/>
      </c>
      <c r="R69" s="288" t="str">
        <f>IF($C69="","",VLOOKUP($C69,CTPit!$E$10:$BG$172,R$49,FALSE))</f>
        <v/>
      </c>
      <c r="S69" s="288" t="str">
        <f>IF($C69="","",VLOOKUP($C69,CTPit!$E$10:$BG$172,S$49,FALSE))</f>
        <v/>
      </c>
      <c r="T69" s="288" t="str">
        <f>IF($C69="","",VLOOKUP($C69,CTPit!$E$10:$BG$172,T$49,FALSE))</f>
        <v/>
      </c>
      <c r="U69" s="288" t="str">
        <f>IF($C69="","",VLOOKUP($C69,CTPit!$E$10:$BG$172,U$49,FALSE))</f>
        <v/>
      </c>
      <c r="V69" s="288" t="str">
        <f>IF($C69="","",VLOOKUP($C69,CTPit!$E$10:$BG$172,V$49,FALSE))</f>
        <v/>
      </c>
      <c r="W69" s="288" t="str">
        <f>IF($C69="","",VLOOKUP($C69,CTPit!$E$10:$BG$172,W$49,FALSE))</f>
        <v/>
      </c>
      <c r="X69" s="288" t="str">
        <f>IF($C69="","",VLOOKUP($C69,CTPit!$E$10:$BG$172,X$49,FALSE))</f>
        <v/>
      </c>
      <c r="Y69" s="289" t="str">
        <f>IF($C69="","",VLOOKUP($C69,CTPit!$E$10:$BG$172,Y$49,FALSE))</f>
        <v/>
      </c>
      <c r="Z69" s="53" t="str">
        <f>IF($C69="","",VLOOKUP($C69,CTPit!$E$10:$BG$172,Z$49,FALSE))</f>
        <v/>
      </c>
      <c r="AA69" s="288" t="str">
        <f>IF($C69="","",VLOOKUP($C69,CTPit!$E$10:$BG$172,AA$49,FALSE))</f>
        <v/>
      </c>
      <c r="AB69" s="80" t="str">
        <f>IF($C69="","",VLOOKUP($C69,CTPit!$E$10:$BG$172,AB$49,FALSE))</f>
        <v/>
      </c>
      <c r="AC69" s="67" t="str">
        <f>IF($C69="","",VLOOKUP($C69,CTPit!$E$10:$BG$172,AC$49,FALSE))</f>
        <v/>
      </c>
      <c r="AD69" s="288" t="str">
        <f>IF($C69="","",VLOOKUP($C69,CTPit!$E$10:$BG$172,AD$49,FALSE))</f>
        <v/>
      </c>
      <c r="AE69" s="288" t="str">
        <f>IF($C69="","",VLOOKUP($C69,CTPit!$E$10:$BG$172,AE$49,FALSE))</f>
        <v/>
      </c>
      <c r="AF69" s="289" t="str">
        <f>IF($C69="","",VLOOKUP($C69,CTPit!$E$10:$BG$172,AF$49,FALSE))</f>
        <v/>
      </c>
      <c r="AG69" s="67" t="str">
        <f>IF($C69="","",VLOOKUP($C69,CTPit!$E$10:$BG$172,AG$49,FALSE))</f>
        <v/>
      </c>
    </row>
    <row r="70" spans="1:33">
      <c r="A70">
        <v>8</v>
      </c>
      <c r="B70" s="36" t="s">
        <v>19</v>
      </c>
      <c r="C70" s="65"/>
      <c r="D70" s="37" t="str">
        <f>IF($C70="","",VLOOKUP($C70,CTPit!$E$10:$BG$214,D$4,FALSE))</f>
        <v/>
      </c>
      <c r="E70" s="37" t="str">
        <f>IF($C70="","",VLOOKUP($C70,CTPit!$E$10:$BG$214,E$4+1,FALSE))</f>
        <v/>
      </c>
      <c r="F70" s="53" t="str">
        <f t="shared" si="81"/>
        <v/>
      </c>
      <c r="G70" s="288" t="str">
        <f t="shared" si="82"/>
        <v/>
      </c>
      <c r="H70" s="289" t="str">
        <f t="shared" si="83"/>
        <v/>
      </c>
      <c r="I70" s="100" t="str">
        <f>IF($C70="","",VLOOKUP($C70,CTPit!$E$10:$BG$172,I$49,FALSE))</f>
        <v/>
      </c>
      <c r="J70" s="288" t="str">
        <f t="shared" si="84"/>
        <v/>
      </c>
      <c r="K70" s="53" t="str">
        <f>IF($C70="","",VLOOKUP($C70,CTPit!$E$10:$BG$172,K$49,FALSE))</f>
        <v/>
      </c>
      <c r="L70" s="288" t="str">
        <f>IF($C70="","",VLOOKUP($C70,CTPit!$E$10:$BG$172,L$49,FALSE))</f>
        <v/>
      </c>
      <c r="M70" s="289" t="str">
        <f>IF($C70="","",VLOOKUP($C70,CTPit!$E$10:$BG$172,M$49,FALSE))</f>
        <v/>
      </c>
      <c r="N70" s="288" t="str">
        <f>IF($C70="","",VLOOKUP($C70,CTPit!$E$10:$BG$172,N$49,FALSE))</f>
        <v/>
      </c>
      <c r="O70" s="288" t="str">
        <f>IF($C70="","",VLOOKUP($C70,CTPit!$E$10:$BG$172,O$49,FALSE))</f>
        <v/>
      </c>
      <c r="P70" s="288" t="str">
        <f>IF($C70="","",VLOOKUP($C70,CTPit!$E$10:$BG$172,P$49,FALSE))</f>
        <v/>
      </c>
      <c r="Q70" s="288" t="str">
        <f>IF($C70="","",VLOOKUP($C70,CTPit!$E$10:$BG$172,Q$49,FALSE))</f>
        <v/>
      </c>
      <c r="R70" s="288" t="str">
        <f>IF($C70="","",VLOOKUP($C70,CTPit!$E$10:$BG$172,R$49,FALSE))</f>
        <v/>
      </c>
      <c r="S70" s="288" t="str">
        <f>IF($C70="","",VLOOKUP($C70,CTPit!$E$10:$BG$172,S$49,FALSE))</f>
        <v/>
      </c>
      <c r="T70" s="288" t="str">
        <f>IF($C70="","",VLOOKUP($C70,CTPit!$E$10:$BG$172,T$49,FALSE))</f>
        <v/>
      </c>
      <c r="U70" s="288" t="str">
        <f>IF($C70="","",VLOOKUP($C70,CTPit!$E$10:$BG$172,U$49,FALSE))</f>
        <v/>
      </c>
      <c r="V70" s="288" t="str">
        <f>IF($C70="","",VLOOKUP($C70,CTPit!$E$10:$BG$172,V$49,FALSE))</f>
        <v/>
      </c>
      <c r="W70" s="288" t="str">
        <f>IF($C70="","",VLOOKUP($C70,CTPit!$E$10:$BG$172,W$49,FALSE))</f>
        <v/>
      </c>
      <c r="X70" s="288" t="str">
        <f>IF($C70="","",VLOOKUP($C70,CTPit!$E$10:$BG$172,X$49,FALSE))</f>
        <v/>
      </c>
      <c r="Y70" s="289" t="str">
        <f>IF($C70="","",VLOOKUP($C70,CTPit!$E$10:$BG$172,Y$49,FALSE))</f>
        <v/>
      </c>
      <c r="Z70" s="53" t="str">
        <f>IF($C70="","",VLOOKUP($C70,CTPit!$E$10:$BG$172,Z$49,FALSE))</f>
        <v/>
      </c>
      <c r="AA70" s="288" t="str">
        <f>IF($C70="","",VLOOKUP($C70,CTPit!$E$10:$BG$172,AA$49,FALSE))</f>
        <v/>
      </c>
      <c r="AB70" s="80" t="str">
        <f>IF($C70="","",VLOOKUP($C70,CTPit!$E$10:$BG$172,AB$49,FALSE))</f>
        <v/>
      </c>
      <c r="AC70" s="67" t="str">
        <f>IF($C70="","",VLOOKUP($C70,CTPit!$E$10:$BG$172,AC$49,FALSE))</f>
        <v/>
      </c>
      <c r="AD70" s="288" t="str">
        <f>IF($C70="","",VLOOKUP($C70,CTPit!$E$10:$BG$172,AD$49,FALSE))</f>
        <v/>
      </c>
      <c r="AE70" s="288" t="str">
        <f>IF($C70="","",VLOOKUP($C70,CTPit!$E$10:$BG$172,AE$49,FALSE))</f>
        <v/>
      </c>
      <c r="AF70" s="289" t="str">
        <f>IF($C70="","",VLOOKUP($C70,CTPit!$E$10:$BG$172,AF$49,FALSE))</f>
        <v/>
      </c>
      <c r="AG70" s="67" t="str">
        <f>IF($C70="","",VLOOKUP($C70,CTPit!$E$10:$BG$172,AG$49,FALSE))</f>
        <v/>
      </c>
    </row>
    <row r="71" spans="1:33">
      <c r="A71">
        <v>9</v>
      </c>
      <c r="B71" s="36" t="s">
        <v>19</v>
      </c>
      <c r="C71" s="65"/>
      <c r="D71" s="37" t="str">
        <f>IF($C71="","",VLOOKUP($C71,CTPit!$E$10:$BG$214,D$4,FALSE))</f>
        <v/>
      </c>
      <c r="E71" s="37" t="str">
        <f>IF($C71="","",VLOOKUP($C71,CTPit!$E$10:$BG$214,E$4+1,FALSE))</f>
        <v/>
      </c>
      <c r="F71" s="53" t="str">
        <f t="shared" si="81"/>
        <v/>
      </c>
      <c r="G71" s="288" t="str">
        <f t="shared" si="82"/>
        <v/>
      </c>
      <c r="H71" s="289" t="str">
        <f t="shared" si="83"/>
        <v/>
      </c>
      <c r="I71" s="100" t="str">
        <f>IF($C71="","",VLOOKUP($C71,CTPit!$E$10:$BG$172,I$49,FALSE))</f>
        <v/>
      </c>
      <c r="J71" s="288" t="str">
        <f t="shared" si="84"/>
        <v/>
      </c>
      <c r="K71" s="53" t="str">
        <f>IF($C71="","",VLOOKUP($C71,CTPit!$E$10:$BG$172,K$49,FALSE))</f>
        <v/>
      </c>
      <c r="L71" s="288" t="str">
        <f>IF($C71="","",VLOOKUP($C71,CTPit!$E$10:$BG$172,L$49,FALSE))</f>
        <v/>
      </c>
      <c r="M71" s="289" t="str">
        <f>IF($C71="","",VLOOKUP($C71,CTPit!$E$10:$BG$172,M$49,FALSE))</f>
        <v/>
      </c>
      <c r="N71" s="288" t="str">
        <f>IF($C71="","",VLOOKUP($C71,CTPit!$E$10:$BG$172,N$49,FALSE))</f>
        <v/>
      </c>
      <c r="O71" s="288" t="str">
        <f>IF($C71="","",VLOOKUP($C71,CTPit!$E$10:$BG$172,O$49,FALSE))</f>
        <v/>
      </c>
      <c r="P71" s="288" t="str">
        <f>IF($C71="","",VLOOKUP($C71,CTPit!$E$10:$BG$172,P$49,FALSE))</f>
        <v/>
      </c>
      <c r="Q71" s="288" t="str">
        <f>IF($C71="","",VLOOKUP($C71,CTPit!$E$10:$BG$172,Q$49,FALSE))</f>
        <v/>
      </c>
      <c r="R71" s="288" t="str">
        <f>IF($C71="","",VLOOKUP($C71,CTPit!$E$10:$BG$172,R$49,FALSE))</f>
        <v/>
      </c>
      <c r="S71" s="288" t="str">
        <f>IF($C71="","",VLOOKUP($C71,CTPit!$E$10:$BG$172,S$49,FALSE))</f>
        <v/>
      </c>
      <c r="T71" s="288" t="str">
        <f>IF($C71="","",VLOOKUP($C71,CTPit!$E$10:$BG$172,T$49,FALSE))</f>
        <v/>
      </c>
      <c r="U71" s="288" t="str">
        <f>IF($C71="","",VLOOKUP($C71,CTPit!$E$10:$BG$172,U$49,FALSE))</f>
        <v/>
      </c>
      <c r="V71" s="288" t="str">
        <f>IF($C71="","",VLOOKUP($C71,CTPit!$E$10:$BG$172,V$49,FALSE))</f>
        <v/>
      </c>
      <c r="W71" s="288" t="str">
        <f>IF($C71="","",VLOOKUP($C71,CTPit!$E$10:$BG$172,W$49,FALSE))</f>
        <v/>
      </c>
      <c r="X71" s="288" t="str">
        <f>IF($C71="","",VLOOKUP($C71,CTPit!$E$10:$BG$172,X$49,FALSE))</f>
        <v/>
      </c>
      <c r="Y71" s="289" t="str">
        <f>IF($C71="","",VLOOKUP($C71,CTPit!$E$10:$BG$172,Y$49,FALSE))</f>
        <v/>
      </c>
      <c r="Z71" s="53" t="str">
        <f>IF($C71="","",VLOOKUP($C71,CTPit!$E$10:$BG$172,Z$49,FALSE))</f>
        <v/>
      </c>
      <c r="AA71" s="288" t="str">
        <f>IF($C71="","",VLOOKUP($C71,CTPit!$E$10:$BG$172,AA$49,FALSE))</f>
        <v/>
      </c>
      <c r="AB71" s="80" t="str">
        <f>IF($C71="","",VLOOKUP($C71,CTPit!$E$10:$BG$172,AB$49,FALSE))</f>
        <v/>
      </c>
      <c r="AC71" s="67" t="str">
        <f>IF($C71="","",VLOOKUP($C71,CTPit!$E$10:$BG$172,AC$49,FALSE))</f>
        <v/>
      </c>
      <c r="AD71" s="288" t="str">
        <f>IF($C71="","",VLOOKUP($C71,CTPit!$E$10:$BG$172,AD$49,FALSE))</f>
        <v/>
      </c>
      <c r="AE71" s="288" t="str">
        <f>IF($C71="","",VLOOKUP($C71,CTPit!$E$10:$BG$172,AE$49,FALSE))</f>
        <v/>
      </c>
      <c r="AF71" s="289" t="str">
        <f>IF($C71="","",VLOOKUP($C71,CTPit!$E$10:$BG$172,AF$49,FALSE))</f>
        <v/>
      </c>
      <c r="AG71" s="67" t="str">
        <f>IF($C71="","",VLOOKUP($C71,CTPit!$E$10:$BG$172,AG$49,FALSE))</f>
        <v/>
      </c>
    </row>
    <row r="72" spans="1:33">
      <c r="A72">
        <v>10</v>
      </c>
      <c r="B72" s="39" t="s">
        <v>19</v>
      </c>
      <c r="C72" s="40"/>
      <c r="D72" s="40" t="str">
        <f>IF($C72="","",VLOOKUP($C72,CTPit!$E$10:$BG$214,D$4,FALSE))</f>
        <v/>
      </c>
      <c r="E72" s="40" t="str">
        <f>IF($C72="","",VLOOKUP($C72,CTPit!$E$10:$BG$214,E$4+1,FALSE))</f>
        <v/>
      </c>
      <c r="F72" s="54" t="str">
        <f t="shared" si="81"/>
        <v/>
      </c>
      <c r="G72" s="286" t="str">
        <f t="shared" si="82"/>
        <v/>
      </c>
      <c r="H72" s="287" t="str">
        <f t="shared" si="83"/>
        <v/>
      </c>
      <c r="I72" s="101" t="str">
        <f>IF($C72="","",VLOOKUP($C72,CTPit!$E$10:$BG$172,I$49,FALSE))</f>
        <v/>
      </c>
      <c r="J72" s="286" t="str">
        <f t="shared" si="84"/>
        <v/>
      </c>
      <c r="K72" s="54" t="str">
        <f>IF($C72="","",VLOOKUP($C72,CTPit!$E$10:$BG$172,K$49,FALSE))</f>
        <v/>
      </c>
      <c r="L72" s="286" t="str">
        <f>IF($C72="","",VLOOKUP($C72,CTPit!$E$10:$BG$172,L$49,FALSE))</f>
        <v/>
      </c>
      <c r="M72" s="287" t="str">
        <f>IF($C72="","",VLOOKUP($C72,CTPit!$E$10:$BG$172,M$49,FALSE))</f>
        <v/>
      </c>
      <c r="N72" s="286" t="str">
        <f>IF($C72="","",VLOOKUP($C72,CTPit!$E$10:$BG$172,N$49,FALSE))</f>
        <v/>
      </c>
      <c r="O72" s="286" t="str">
        <f>IF($C72="","",VLOOKUP($C72,CTPit!$E$10:$BG$172,O$49,FALSE))</f>
        <v/>
      </c>
      <c r="P72" s="286" t="str">
        <f>IF($C72="","",VLOOKUP($C72,CTPit!$E$10:$BG$172,P$49,FALSE))</f>
        <v/>
      </c>
      <c r="Q72" s="286" t="str">
        <f>IF($C72="","",VLOOKUP($C72,CTPit!$E$10:$BG$172,Q$49,FALSE))</f>
        <v/>
      </c>
      <c r="R72" s="286" t="str">
        <f>IF($C72="","",VLOOKUP($C72,CTPit!$E$10:$BG$172,R$49,FALSE))</f>
        <v/>
      </c>
      <c r="S72" s="286" t="str">
        <f>IF($C72="","",VLOOKUP($C72,CTPit!$E$10:$BG$172,S$49,FALSE))</f>
        <v/>
      </c>
      <c r="T72" s="286" t="str">
        <f>IF($C72="","",VLOOKUP($C72,CTPit!$E$10:$BG$172,T$49,FALSE))</f>
        <v/>
      </c>
      <c r="U72" s="286" t="str">
        <f>IF($C72="","",VLOOKUP($C72,CTPit!$E$10:$BG$172,U$49,FALSE))</f>
        <v/>
      </c>
      <c r="V72" s="286" t="str">
        <f>IF($C72="","",VLOOKUP($C72,CTPit!$E$10:$BG$172,V$49,FALSE))</f>
        <v/>
      </c>
      <c r="W72" s="286" t="str">
        <f>IF($C72="","",VLOOKUP($C72,CTPit!$E$10:$BG$172,W$49,FALSE))</f>
        <v/>
      </c>
      <c r="X72" s="286" t="str">
        <f>IF($C72="","",VLOOKUP($C72,CTPit!$E$10:$BG$172,X$49,FALSE))</f>
        <v/>
      </c>
      <c r="Y72" s="287" t="str">
        <f>IF($C72="","",VLOOKUP($C72,CTPit!$E$10:$BG$172,Y$49,FALSE))</f>
        <v/>
      </c>
      <c r="Z72" s="54" t="str">
        <f>IF($C72="","",VLOOKUP($C72,CTPit!$E$10:$BG$172,Z$49,FALSE))</f>
        <v/>
      </c>
      <c r="AA72" s="286" t="str">
        <f>IF($C72="","",VLOOKUP($C72,CTPit!$E$10:$BG$172,AA$49,FALSE))</f>
        <v/>
      </c>
      <c r="AB72" s="81" t="str">
        <f>IF($C72="","",VLOOKUP($C72,CTPit!$E$10:$BG$172,AB$49,FALSE))</f>
        <v/>
      </c>
      <c r="AC72" s="68" t="str">
        <f>IF($C72="","",VLOOKUP($C72,CTPit!$E$10:$BG$172,AC$49,FALSE))</f>
        <v/>
      </c>
      <c r="AD72" s="286" t="str">
        <f>IF($C72="","",VLOOKUP($C72,CTPit!$E$10:$BG$172,AD$49,FALSE))</f>
        <v/>
      </c>
      <c r="AE72" s="286" t="str">
        <f>IF($C72="","",VLOOKUP($C72,CTPit!$E$10:$BG$172,AE$49,FALSE))</f>
        <v/>
      </c>
      <c r="AF72" s="287" t="str">
        <f>IF($C72="","",VLOOKUP($C72,CTPit!$E$10:$BG$172,AF$49,FALSE))</f>
        <v/>
      </c>
      <c r="AG72" s="68" t="str">
        <f>IF($C72="","",VLOOKUP($C72,CTPit!$E$10:$BG$172,AG$49,FALSE))</f>
        <v/>
      </c>
    </row>
  </sheetData>
  <mergeCells count="6">
    <mergeCell ref="AG35:AT35"/>
    <mergeCell ref="AH36:AT36"/>
    <mergeCell ref="AH37:AT37"/>
    <mergeCell ref="AH38:AT38"/>
    <mergeCell ref="AH39:AT39"/>
    <mergeCell ref="AH40:AT40"/>
  </mergeCells>
  <conditionalFormatting sqref="G19">
    <cfRule type="expression" dxfId="82" priority="21">
      <formula>IF(SUM(G20:G27)&gt;1,1,0)</formula>
    </cfRule>
  </conditionalFormatting>
  <conditionalFormatting sqref="H19">
    <cfRule type="expression" dxfId="81" priority="20">
      <formula>IF(SUM(H20:H27)&gt;1,1,0)</formula>
    </cfRule>
  </conditionalFormatting>
  <conditionalFormatting sqref="F19">
    <cfRule type="expression" dxfId="80" priority="19">
      <formula>IF(SUM(F20:F27)&gt;1,1,0)</formula>
    </cfRule>
  </conditionalFormatting>
  <conditionalFormatting sqref="I5">
    <cfRule type="expression" dxfId="79" priority="18">
      <formula>-IF(SUM(I6:I17)&gt;1,1,0)</formula>
    </cfRule>
  </conditionalFormatting>
  <conditionalFormatting sqref="H5">
    <cfRule type="expression" dxfId="78" priority="17">
      <formula>-IF(SUM(H6:H17)&gt;1,1,0)</formula>
    </cfRule>
  </conditionalFormatting>
  <conditionalFormatting sqref="F29">
    <cfRule type="expression" dxfId="77" priority="16">
      <formula>IF(SUM($F$30:$F$33)&gt;1,1,0)</formula>
    </cfRule>
  </conditionalFormatting>
  <conditionalFormatting sqref="F50">
    <cfRule type="expression" dxfId="76" priority="15">
      <formula>IF(SUM($F$51:$F$56)&gt;1,1,0)</formula>
    </cfRule>
  </conditionalFormatting>
  <conditionalFormatting sqref="H50">
    <cfRule type="expression" dxfId="75" priority="14">
      <formula>IF(SUM($H$51:$H$56)&gt;3,1,0)</formula>
    </cfRule>
  </conditionalFormatting>
  <conditionalFormatting sqref="G50">
    <cfRule type="expression" dxfId="74" priority="13">
      <formula>IF(SUM($G$51:$G$56)&gt;2,1,0)</formula>
    </cfRule>
  </conditionalFormatting>
  <conditionalFormatting sqref="C30:C33 C20:C27 C6:C17">
    <cfRule type="expression" dxfId="73" priority="11">
      <formula>IF($AZ6&lt;4.5,1,0)</formula>
    </cfRule>
    <cfRule type="expression" dxfId="72" priority="12">
      <formula>IF($AZ6&gt;7,1,0)</formula>
    </cfRule>
  </conditionalFormatting>
  <conditionalFormatting sqref="C21">
    <cfRule type="expression" dxfId="71" priority="9">
      <formula>IF($AK21&lt;4.5,1,0)</formula>
    </cfRule>
    <cfRule type="expression" dxfId="70" priority="10">
      <formula>IF($AK21&gt;7,1,0)</formula>
    </cfRule>
  </conditionalFormatting>
  <conditionalFormatting sqref="F5">
    <cfRule type="expression" dxfId="69" priority="8">
      <formula>IF(SUM(F6:F17)&gt;1,1,0)</formula>
    </cfRule>
  </conditionalFormatting>
  <conditionalFormatting sqref="G5">
    <cfRule type="expression" dxfId="68" priority="7">
      <formula>IF(SUM(G6:G17)&gt;1,1,0)</formula>
    </cfRule>
  </conditionalFormatting>
  <conditionalFormatting sqref="C51:C56 C59:C60 C63:C72">
    <cfRule type="expression" dxfId="64" priority="3">
      <formula>IF($AC51&lt;$D$2,1,0)</formula>
    </cfRule>
    <cfRule type="expression" dxfId="67" priority="4">
      <formula>IF($AC51&gt;$C$3,1,0)</formula>
    </cfRule>
    <cfRule type="expression" dxfId="66" priority="5">
      <formula>IF($AG51&lt;5.75,1,0)</formula>
    </cfRule>
    <cfRule type="expression" dxfId="65" priority="6">
      <formula>IF($AG51&gt;6,1,0)</formula>
    </cfRule>
  </conditionalFormatting>
  <conditionalFormatting sqref="C6:C17 C20:C27 C30:C33">
    <cfRule type="expression" dxfId="62" priority="1">
      <formula>IF($AK6&lt;$D$2,1,0)</formula>
    </cfRule>
    <cfRule type="expression" dxfId="63" priority="2">
      <formula>IF($AK6&gt;$C$2,1,0)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published="0" codeName="Sheet10">
    <tabColor theme="5" tint="-0.249977111117893"/>
  </sheetPr>
  <dimension ref="A1:AZ72"/>
  <sheetViews>
    <sheetView zoomScale="85" zoomScaleNormal="85" workbookViewId="0">
      <pane ySplit="3" topLeftCell="A13" activePane="bottomLeft" state="frozenSplit"/>
      <selection pane="bottomLeft" activeCell="K24" sqref="K24"/>
    </sheetView>
  </sheetViews>
  <sheetFormatPr defaultRowHeight="15"/>
  <cols>
    <col min="1" max="1" width="3.140625" customWidth="1"/>
    <col min="2" max="2" width="10.7109375" style="1" bestFit="1" customWidth="1"/>
    <col min="3" max="3" width="20" style="26" bestFit="1" customWidth="1"/>
    <col min="4" max="4" width="4.5703125" style="26" customWidth="1"/>
    <col min="5" max="5" width="4.42578125" style="26" customWidth="1"/>
    <col min="6" max="6" width="4.42578125" bestFit="1" customWidth="1"/>
    <col min="7" max="7" width="3.7109375" bestFit="1" customWidth="1"/>
    <col min="8" max="8" width="4.7109375" bestFit="1" customWidth="1"/>
    <col min="9" max="9" width="4.28515625" customWidth="1"/>
    <col min="10" max="12" width="3.7109375" customWidth="1"/>
    <col min="13" max="16" width="3.7109375" bestFit="1" customWidth="1"/>
    <col min="17" max="17" width="4.28515625" bestFit="1" customWidth="1"/>
    <col min="18" max="18" width="4.7109375" bestFit="1" customWidth="1"/>
    <col min="19" max="21" width="3.7109375" bestFit="1" customWidth="1"/>
    <col min="22" max="22" width="4.28515625" bestFit="1" customWidth="1"/>
    <col min="23" max="23" width="4.7109375" bestFit="1" customWidth="1"/>
    <col min="24" max="24" width="4.28515625" customWidth="1"/>
    <col min="25" max="25" width="4.28515625" bestFit="1" customWidth="1"/>
    <col min="26" max="26" width="11.42578125" bestFit="1" customWidth="1"/>
    <col min="27" max="27" width="4.28515625" bestFit="1" customWidth="1"/>
    <col min="28" max="29" width="4.7109375" bestFit="1" customWidth="1"/>
    <col min="30" max="32" width="4.28515625" bestFit="1" customWidth="1"/>
    <col min="33" max="33" width="6.28515625" customWidth="1"/>
    <col min="34" max="36" width="3.7109375" bestFit="1" customWidth="1"/>
    <col min="37" max="37" width="4.5703125" bestFit="1" customWidth="1"/>
    <col min="38" max="51" width="3.7109375" bestFit="1" customWidth="1"/>
    <col min="52" max="52" width="4.5703125" bestFit="1" customWidth="1"/>
  </cols>
  <sheetData>
    <row r="1" spans="1:52">
      <c r="C1" s="321" t="s">
        <v>648</v>
      </c>
      <c r="D1" s="321" t="s">
        <v>649</v>
      </c>
    </row>
    <row r="2" spans="1:52">
      <c r="B2" s="321" t="s">
        <v>650</v>
      </c>
      <c r="C2" s="322">
        <v>3.5</v>
      </c>
      <c r="D2" s="322">
        <v>1</v>
      </c>
    </row>
    <row r="3" spans="1:52">
      <c r="B3" s="321" t="s">
        <v>651</v>
      </c>
      <c r="C3" s="322">
        <v>4.25</v>
      </c>
      <c r="D3" s="322">
        <v>1</v>
      </c>
    </row>
    <row r="4" spans="1:52">
      <c r="D4" s="26">
        <v>4</v>
      </c>
      <c r="E4" s="26">
        <v>5</v>
      </c>
      <c r="J4">
        <v>23</v>
      </c>
      <c r="K4">
        <v>21</v>
      </c>
      <c r="L4">
        <v>22</v>
      </c>
      <c r="M4">
        <v>24</v>
      </c>
      <c r="N4">
        <v>25</v>
      </c>
      <c r="O4">
        <v>26</v>
      </c>
      <c r="P4">
        <v>27</v>
      </c>
      <c r="Q4">
        <v>28</v>
      </c>
      <c r="R4">
        <v>29</v>
      </c>
      <c r="S4">
        <v>30</v>
      </c>
      <c r="T4">
        <v>31</v>
      </c>
      <c r="AD4">
        <v>11</v>
      </c>
      <c r="AE4">
        <v>12</v>
      </c>
      <c r="AF4">
        <v>13</v>
      </c>
      <c r="AG4">
        <v>14</v>
      </c>
      <c r="AH4">
        <v>15</v>
      </c>
      <c r="AI4">
        <v>32</v>
      </c>
      <c r="AJ4">
        <v>33</v>
      </c>
      <c r="AU4">
        <v>16</v>
      </c>
      <c r="AV4">
        <v>17</v>
      </c>
      <c r="AW4">
        <v>18</v>
      </c>
      <c r="AX4">
        <v>19</v>
      </c>
      <c r="AY4">
        <v>20</v>
      </c>
    </row>
    <row r="5" spans="1:52" s="24" customFormat="1" ht="216.75">
      <c r="A5" s="25" t="s">
        <v>196</v>
      </c>
      <c r="B5" s="236" t="s">
        <v>127</v>
      </c>
      <c r="C5" s="44" t="str">
        <f>"Player ("&amp;COUNTA(C6:C17)&amp;")"</f>
        <v>Player (11)</v>
      </c>
      <c r="D5" s="44" t="s">
        <v>94</v>
      </c>
      <c r="E5" s="44" t="s">
        <v>104</v>
      </c>
      <c r="F5" s="51" t="str">
        <f>"Only 1 guy who plays only 1B ("&amp;SUM(F6:F17)&amp;")"</f>
        <v>Only 1 guy who plays only 1B (4)</v>
      </c>
      <c r="G5" s="45" t="str">
        <f>"Only 1 guy who can only play 1B or LF ("&amp;SUM(G6:G17)&amp;")"</f>
        <v>Only 1 guy who can only play 1B or LF (4)</v>
      </c>
      <c r="H5" s="46" t="str">
        <f>"2 guys with RF arms ("&amp;SUM(H6:H17)&amp;")"</f>
        <v>2 guys with RF arms (4)</v>
      </c>
      <c r="I5" s="46" t="str">
        <f>"2 guys with CF range ("&amp;SUM(I6:I17)&amp;")"</f>
        <v>2 guys with CF range (0)</v>
      </c>
      <c r="J5" s="55" t="s">
        <v>139</v>
      </c>
      <c r="K5" s="47" t="s">
        <v>137</v>
      </c>
      <c r="L5" s="56" t="s">
        <v>138</v>
      </c>
      <c r="M5" s="48" t="s">
        <v>95</v>
      </c>
      <c r="N5" s="48" t="s">
        <v>97</v>
      </c>
      <c r="O5" s="48" t="s">
        <v>98</v>
      </c>
      <c r="P5" s="48" t="s">
        <v>99</v>
      </c>
      <c r="Q5" s="48" t="s">
        <v>100</v>
      </c>
      <c r="R5" s="48" t="s">
        <v>101</v>
      </c>
      <c r="S5" s="48" t="s">
        <v>102</v>
      </c>
      <c r="T5" s="49" t="s">
        <v>103</v>
      </c>
      <c r="U5" s="51" t="s">
        <v>140</v>
      </c>
      <c r="V5" s="45" t="s">
        <v>184</v>
      </c>
      <c r="W5" s="45" t="s">
        <v>141</v>
      </c>
      <c r="X5" s="45" t="s">
        <v>157</v>
      </c>
      <c r="Y5" s="45" t="s">
        <v>156</v>
      </c>
      <c r="Z5" s="45" t="s">
        <v>144</v>
      </c>
      <c r="AA5" s="45" t="s">
        <v>145</v>
      </c>
      <c r="AB5" s="45" t="s">
        <v>162</v>
      </c>
      <c r="AC5" s="60" t="s">
        <v>146</v>
      </c>
      <c r="AD5" s="48" t="s">
        <v>150</v>
      </c>
      <c r="AE5" s="48" t="s">
        <v>151</v>
      </c>
      <c r="AF5" s="48" t="s">
        <v>152</v>
      </c>
      <c r="AG5" s="48" t="s">
        <v>153</v>
      </c>
      <c r="AH5" s="48" t="s">
        <v>29</v>
      </c>
      <c r="AI5" s="63" t="s">
        <v>154</v>
      </c>
      <c r="AJ5" s="49" t="s">
        <v>155</v>
      </c>
      <c r="AK5" s="66" t="s">
        <v>160</v>
      </c>
      <c r="AL5" s="51" t="s">
        <v>140</v>
      </c>
      <c r="AM5" s="45" t="s">
        <v>184</v>
      </c>
      <c r="AN5" s="45" t="s">
        <v>141</v>
      </c>
      <c r="AO5" s="45" t="s">
        <v>157</v>
      </c>
      <c r="AP5" s="45" t="s">
        <v>156</v>
      </c>
      <c r="AQ5" s="45" t="s">
        <v>144</v>
      </c>
      <c r="AR5" s="45" t="s">
        <v>145</v>
      </c>
      <c r="AS5" s="45" t="s">
        <v>162</v>
      </c>
      <c r="AT5" s="60" t="s">
        <v>146</v>
      </c>
      <c r="AU5" s="63" t="s">
        <v>150</v>
      </c>
      <c r="AV5" s="48" t="s">
        <v>151</v>
      </c>
      <c r="AW5" s="48" t="s">
        <v>152</v>
      </c>
      <c r="AX5" s="48" t="s">
        <v>153</v>
      </c>
      <c r="AY5" s="49" t="s">
        <v>29</v>
      </c>
      <c r="AZ5" s="66" t="s">
        <v>201</v>
      </c>
    </row>
    <row r="6" spans="1:52">
      <c r="A6">
        <v>1</v>
      </c>
      <c r="B6" s="32" t="s">
        <v>97</v>
      </c>
      <c r="C6" s="37" t="s">
        <v>631</v>
      </c>
      <c r="D6" s="33">
        <f>IF($C6="","",VLOOKUP($C6,CTBat!$G$10:$BR$208,D$4,FALSE))</f>
        <v>21</v>
      </c>
      <c r="E6" s="33" t="str">
        <f>IF($C6="","",VLOOKUP($C6,CTBat!$G$10:$BR$208,E$4,FALSE))</f>
        <v>L</v>
      </c>
      <c r="F6" s="52">
        <f>IF($C6="","",IF(AND(N6&gt;0,N6=SUM(M6:T6)),1,0))</f>
        <v>1</v>
      </c>
      <c r="G6" s="34">
        <f>IF($C6="","",IF(AND(OR(N6&gt;0,R6&gt;0),SUM(N6,R6)=SUM(M6:T6)),1,0))</f>
        <v>1</v>
      </c>
      <c r="H6" s="34">
        <f>IF($C6="","",IF(L6&gt;6,1,0))</f>
        <v>0</v>
      </c>
      <c r="I6" s="34">
        <f t="shared" ref="I6:I10" si="0">IF($C6="","",IF(AND(S6&gt;4,S6&lt;&gt;"-"),1,0))</f>
        <v>0</v>
      </c>
      <c r="J6" s="57">
        <f>IF($C6="","",VLOOKUP($C6,CTBat!$G$10:$BR$208,J$4,FALSE))</f>
        <v>1</v>
      </c>
      <c r="K6" s="33">
        <f>IF($C6="","",VLOOKUP($C6,CTBat!$G$10:$BR$208,K$4,FALSE))</f>
        <v>4</v>
      </c>
      <c r="L6" s="35">
        <f>IF($C6="","",VLOOKUP($C6,CTBat!$G$10:$BR$208,L$4,FALSE))</f>
        <v>2</v>
      </c>
      <c r="M6" s="33" t="str">
        <f>IF($C6="","",VLOOKUP($C6,CTBat!$G$10:$BR$208,M$4,FALSE))</f>
        <v>-</v>
      </c>
      <c r="N6" s="33">
        <f>IF($C6="","",VLOOKUP($C6,CTBat!$G$10:$BR$208,N$4,FALSE))</f>
        <v>7</v>
      </c>
      <c r="O6" s="33" t="str">
        <f>IF($C6="","",VLOOKUP($C6,CTBat!$G$10:$BR$208,O$4,FALSE))</f>
        <v>-</v>
      </c>
      <c r="P6" s="33" t="str">
        <f>IF($C6="","",VLOOKUP($C6,CTBat!$G$10:$BR$208,P$4,FALSE))</f>
        <v>-</v>
      </c>
      <c r="Q6" s="33" t="str">
        <f>IF($C6="","",VLOOKUP($C6,CTBat!$G$10:$BR$208,Q$4,FALSE))</f>
        <v>-</v>
      </c>
      <c r="R6" s="33" t="str">
        <f>IF($C6="","",VLOOKUP($C6,CTBat!$G$10:$BR$208,R$4,FALSE))</f>
        <v>-</v>
      </c>
      <c r="S6" s="33" t="str">
        <f>IF($C6="","",VLOOKUP($C6,CTBat!$G$10:$BR$208,S$4,FALSE))</f>
        <v>-</v>
      </c>
      <c r="T6" s="35" t="str">
        <f>IF($C6="","",VLOOKUP($C6,CTBat!$G$10:$BR$208,T$4,FALSE))</f>
        <v>-</v>
      </c>
      <c r="U6" s="53">
        <f t="shared" ref="U6:U17" si="1">IF($C6="","",IF(OR(AD6+AG6&gt;14,AND(OR(AD6+AG6&gt;12,AND(AD6&gt;6,AG6&gt;6)),AI6&gt;6,OR(AJ6&gt;=AI6,AJ6&gt;6))),1,0))</f>
        <v>0</v>
      </c>
      <c r="V6" s="241">
        <f t="shared" ref="V6:V17" si="2">IF($C6="","",IF(OR(AND(AD6&gt;6,AH6&gt;6),AD6+AG6&gt;12),1,0))</f>
        <v>0</v>
      </c>
      <c r="W6" s="34">
        <f>IF($C6="","",IF(AND(AD6&gt;6,AF6&gt;6,AG6&gt;6),1,0))</f>
        <v>0</v>
      </c>
      <c r="X6" s="34">
        <f>IF($C6="","",IF(AND(AF6&gt;7,OR(AD6&gt;6,AG6&gt;6)),1,0))</f>
        <v>0</v>
      </c>
      <c r="Y6" s="34">
        <f>IF($C6="","",IF(AND(AF6&gt;6,OR(AD6&gt;6,AG6&gt;6)),1,0))</f>
        <v>0</v>
      </c>
      <c r="Z6" s="34">
        <f>IF($C6="","",IF(AND(OR(AD6&gt;6,AF6&gt;6),OR(AD6&gt;6,AG6&gt;6)),1,0))</f>
        <v>0</v>
      </c>
      <c r="AA6" s="34">
        <f>IF($C6="","",IF(AND(AD6&gt;4,OR(AD6&gt;6,AF6&gt;6,AG6&gt;6)),1,0))</f>
        <v>0</v>
      </c>
      <c r="AB6" s="34">
        <f>IF($C6="","",IF(AND(AD6&gt;4,OR(AD6&gt;6,AE6&gt;6,AF6&gt;6,AG6&gt;6)),1,0))</f>
        <v>0</v>
      </c>
      <c r="AC6" s="61">
        <f>IF($C6="","",IF(AND(AD6&gt;4,MAX(AD6:AH6)&gt;6),1,0))</f>
        <v>0</v>
      </c>
      <c r="AD6" s="33">
        <f>IF($C6="","",VLOOKUP($C6,CTBat!$G$10:$BR$208,AD$4,FALSE))</f>
        <v>5</v>
      </c>
      <c r="AE6" s="33">
        <f>IF($C6="","",VLOOKUP($C6,CTBat!$G$10:$BR$208,AE$4,FALSE))</f>
        <v>2</v>
      </c>
      <c r="AF6" s="33">
        <f>IF($C6="","",VLOOKUP($C6,CTBat!$G$10:$BR$208,AF$4,FALSE))</f>
        <v>2</v>
      </c>
      <c r="AG6" s="33">
        <f>IF($C6="","",VLOOKUP($C6,CTBat!$G$10:$BR$208,AG$4,FALSE))</f>
        <v>4</v>
      </c>
      <c r="AH6" s="33">
        <f>IF($C6="","",VLOOKUP($C6,CTBat!$G$10:$BR$208,AH$4,FALSE))</f>
        <v>3</v>
      </c>
      <c r="AI6" s="57">
        <f>IF($C6="","",VLOOKUP($C6,CTBat!$G$10:$BR$208,AI$4,FALSE))</f>
        <v>4</v>
      </c>
      <c r="AJ6" s="35">
        <f>IF($C6="","",VLOOKUP($C6,CTBat!$G$10:$BR$208,AJ$4,FALSE))</f>
        <v>3</v>
      </c>
      <c r="AK6" s="67">
        <f>IF($C6="","",(5*AD6+4*AF6+3*AG6+2*AE6+1*AH6+0.5*(AVERAGE(AD6:AE6))+0.5*AVERAGE(AD6,AH6)+1*(AVERAGE(AD6,AF6))+1*AVERAGE(AD6,AG6))/(5+4+3+2+1+0.5+0.5+1+1))</f>
        <v>3.5416666666666665</v>
      </c>
      <c r="AL6" s="52">
        <f>IF($C6="","",IF(AND(OR(AU6+AX6&gt;12,AND(AU6&gt;6,AX6&gt;6)),AI6&gt;6,OR(AJ6&gt;=AI6,AJ6&gt;6)),1,0))</f>
        <v>0</v>
      </c>
      <c r="AM6" s="34">
        <f>IF($C6="","",IF(OR(AND(AU6&gt;6,AY6&gt;6),AU6+AX6&gt;12),1,0))</f>
        <v>1</v>
      </c>
      <c r="AN6" s="34">
        <f>IF($C6="","",IF(AND(AU6&gt;6,AW6&gt;6,AX6&gt;6),1,0))</f>
        <v>0</v>
      </c>
      <c r="AO6" s="34">
        <f>IF($C6="","",IF(AND(AW6&gt;7,OR(AU6&gt;6,AX6&gt;6)),1,0))</f>
        <v>0</v>
      </c>
      <c r="AP6" s="34">
        <f>IF($C6="","",IF(AND(AW6&gt;6,OR(AU6&gt;6,AX6&gt;6)),1,0))</f>
        <v>0</v>
      </c>
      <c r="AQ6" s="34">
        <f>IF($C6="","",IF(AND(OR(AU6&gt;6,AW6&gt;6),OR(AU6&gt;6,AX6&gt;6)),1,0))</f>
        <v>1</v>
      </c>
      <c r="AR6" s="34">
        <f>IF($C6="","",IF(AND(AU6&gt;4,OR(AU6&gt;6,AW6&gt;6,AX6&gt;6)),1,0))</f>
        <v>1</v>
      </c>
      <c r="AS6" s="34">
        <f>IF($C6="","",IF(AND(AU6&gt;4,OR(AU6&gt;6,AV6&gt;6,AW6&gt;6,AX6&gt;6)),1,0))</f>
        <v>1</v>
      </c>
      <c r="AT6" s="61">
        <f>IF($C6="","",IF(AND(AU6&gt;4,MAX(AU6:AY6)&gt;6),1,0))</f>
        <v>1</v>
      </c>
      <c r="AU6" s="57">
        <f>IF($C6="","",VLOOKUP($C6,CTBat!$G$10:$BR$208,AU$4,FALSE))</f>
        <v>7</v>
      </c>
      <c r="AV6" s="33">
        <f>IF($C6="","",VLOOKUP($C6,CTBat!$G$10:$BR$208,AV$4,FALSE))</f>
        <v>5</v>
      </c>
      <c r="AW6" s="33">
        <f>IF($C6="","",VLOOKUP($C6,CTBat!$G$10:$BR$208,AW$4,FALSE))</f>
        <v>5</v>
      </c>
      <c r="AX6" s="33">
        <f>IF($C6="","",VLOOKUP($C6,CTBat!$G$10:$BR$208,AX$4,FALSE))</f>
        <v>6</v>
      </c>
      <c r="AY6" s="35">
        <f>IF($C6="","",VLOOKUP($C6,CTBat!$G$10:$BR$208,AY$4,FALSE))</f>
        <v>6</v>
      </c>
      <c r="AZ6" s="67">
        <f>IF($C6="","",(5*AU6+4*AW6+3*AX6+2*AV6+1*AY6+0.5*(AVERAGE(AU6:AV6))+0.5*AVERAGE(AU6,AY6)+1*(AVERAGE(AU6,AW6))+1*AVERAGE(AU6,AX6))/(5+4+3+2+1+0.5+0.5+1+1))</f>
        <v>5.9861111111111107</v>
      </c>
    </row>
    <row r="7" spans="1:52">
      <c r="A7">
        <v>2</v>
      </c>
      <c r="B7" s="36" t="s">
        <v>101</v>
      </c>
      <c r="C7" s="37" t="s">
        <v>496</v>
      </c>
      <c r="D7" s="37">
        <f>IF($C7="","",VLOOKUP($C7,CTBat!$G$10:$BR$208,D$4,FALSE))</f>
        <v>19</v>
      </c>
      <c r="E7" s="37" t="str">
        <f>IF($C7="","",VLOOKUP($C7,CTBat!$G$10:$BR$208,E$4,FALSE))</f>
        <v>R</v>
      </c>
      <c r="F7" s="53">
        <f t="shared" ref="F7:F17" si="3">IF($C7="","",IF(AND(N7&gt;0,N7=SUM(M7:T7)),1,0))</f>
        <v>0</v>
      </c>
      <c r="G7" s="241">
        <f t="shared" ref="G7:G17" si="4">IF($C7="","",IF(AND(OR(N7&gt;0,R7&gt;0),SUM(N7,R7)=SUM(M7:T7)),1,0))</f>
        <v>0</v>
      </c>
      <c r="H7" s="241">
        <f t="shared" ref="H7:H17" si="5">IF($C7="","",IF(L7&gt;6,1,0))</f>
        <v>1</v>
      </c>
      <c r="I7" s="241">
        <f t="shared" si="0"/>
        <v>0</v>
      </c>
      <c r="J7" s="58">
        <f>IF($C7="","",VLOOKUP($C7,CTBat!$G$10:$BR$208,J$4,FALSE))</f>
        <v>1</v>
      </c>
      <c r="K7" s="37">
        <f>IF($C7="","",VLOOKUP($C7,CTBat!$G$10:$BR$208,K$4,FALSE))</f>
        <v>1</v>
      </c>
      <c r="L7" s="38">
        <f>IF($C7="","",VLOOKUP($C7,CTBat!$G$10:$BR$208,L$4,FALSE))</f>
        <v>7</v>
      </c>
      <c r="M7" s="37" t="str">
        <f>IF($C7="","",VLOOKUP($C7,CTBat!$G$10:$BR$208,M$4,FALSE))</f>
        <v>-</v>
      </c>
      <c r="N7" s="37" t="str">
        <f>IF($C7="","",VLOOKUP($C7,CTBat!$G$10:$BR$208,N$4,FALSE))</f>
        <v>-</v>
      </c>
      <c r="O7" s="37" t="str">
        <f>IF($C7="","",VLOOKUP($C7,CTBat!$G$10:$BR$208,O$4,FALSE))</f>
        <v>-</v>
      </c>
      <c r="P7" s="37" t="str">
        <f>IF($C7="","",VLOOKUP($C7,CTBat!$G$10:$BR$208,P$4,FALSE))</f>
        <v>-</v>
      </c>
      <c r="Q7" s="37" t="str">
        <f>IF($C7="","",VLOOKUP($C7,CTBat!$G$10:$BR$208,Q$4,FALSE))</f>
        <v>-</v>
      </c>
      <c r="R7" s="37">
        <f>IF($C7="","",VLOOKUP($C7,CTBat!$G$10:$BR$208,R$4,FALSE))</f>
        <v>4</v>
      </c>
      <c r="S7" s="37">
        <f>IF($C7="","",VLOOKUP($C7,CTBat!$G$10:$BR$208,S$4,FALSE))</f>
        <v>1</v>
      </c>
      <c r="T7" s="38">
        <f>IF($C7="","",VLOOKUP($C7,CTBat!$G$10:$BR$208,T$4,FALSE))</f>
        <v>2</v>
      </c>
      <c r="U7" s="53">
        <f t="shared" si="1"/>
        <v>0</v>
      </c>
      <c r="V7" s="241">
        <f t="shared" si="2"/>
        <v>0</v>
      </c>
      <c r="W7" s="241">
        <f t="shared" ref="W7:W17" si="6">IF($C7="","",IF(AND(AD7&gt;6,AF7&gt;6,AG7&gt;6),1,0))</f>
        <v>0</v>
      </c>
      <c r="X7" s="241">
        <f t="shared" ref="X7:X17" si="7">IF($C7="","",IF(AND(AF7&gt;7,OR(AD7&gt;6,AG7&gt;6)),1,0))</f>
        <v>0</v>
      </c>
      <c r="Y7" s="241">
        <f t="shared" ref="Y7:Y17" si="8">IF($C7="","",IF(AND(AF7&gt;6,OR(AD7&gt;6,AG7&gt;6)),1,0))</f>
        <v>0</v>
      </c>
      <c r="Z7" s="241">
        <f t="shared" ref="Z7:Z17" si="9">IF($C7="","",IF(AND(OR(AD7&gt;6,AF7&gt;6),OR(AD7&gt;6,AG7&gt;6)),1,0))</f>
        <v>0</v>
      </c>
      <c r="AA7" s="241">
        <f t="shared" ref="AA7:AA17" si="10">IF($C7="","",IF(AND(AD7&gt;4,OR(AD7&gt;6,AF7&gt;6,AG7&gt;6)),1,0))</f>
        <v>0</v>
      </c>
      <c r="AB7" s="241">
        <f t="shared" ref="AB7:AB17" si="11">IF($C7="","",IF(AND(AD7&gt;4,OR(AD7&gt;6,AE7&gt;6,AF7&gt;6,AG7&gt;6)),1,0))</f>
        <v>0</v>
      </c>
      <c r="AC7" s="242">
        <f t="shared" ref="AC7:AC17" si="12">IF($C7="","",IF(AND(AD7&gt;4,MAX(AD7:AH7)&gt;6),1,0))</f>
        <v>0</v>
      </c>
      <c r="AD7" s="37">
        <f>IF($C7="","",VLOOKUP($C7,CTBat!$G$10:$BR$208,AD$4,FALSE))</f>
        <v>3</v>
      </c>
      <c r="AE7" s="37">
        <f>IF($C7="","",VLOOKUP($C7,CTBat!$G$10:$BR$208,AE$4,FALSE))</f>
        <v>3</v>
      </c>
      <c r="AF7" s="37">
        <f>IF($C7="","",VLOOKUP($C7,CTBat!$G$10:$BR$208,AF$4,FALSE))</f>
        <v>1</v>
      </c>
      <c r="AG7" s="37">
        <f>IF($C7="","",VLOOKUP($C7,CTBat!$G$10:$BR$208,AG$4,FALSE))</f>
        <v>2</v>
      </c>
      <c r="AH7" s="37">
        <f>IF($C7="","",VLOOKUP($C7,CTBat!$G$10:$BR$208,AH$4,FALSE))</f>
        <v>2</v>
      </c>
      <c r="AI7" s="58">
        <f>IF($C7="","",VLOOKUP($C7,CTBat!$G$10:$BR$208,AI$4,FALSE))</f>
        <v>8</v>
      </c>
      <c r="AJ7" s="38">
        <f>IF($C7="","",VLOOKUP($C7,CTBat!$G$10:$BR$208,AJ$4,FALSE))</f>
        <v>10</v>
      </c>
      <c r="AK7" s="67">
        <f t="shared" ref="AK7:AK17" si="13">IF($C7="","",(5*AD7+4*AF7+3*AG7+2*AE7+1*AH7+0.5*(AVERAGE(AD7:AE7))+0.5*AVERAGE(AD7,AH7)+1*(AVERAGE(AD7,AF7))+1*AVERAGE(AD7,AG7))/(5+4+3+2+1+0.5+0.5+1+1))</f>
        <v>2.2361111111111112</v>
      </c>
      <c r="AL7" s="53">
        <f t="shared" ref="AL7:AL17" si="14">IF($C7="","",IF(AND(OR(AU7+AX7&gt;12,AND(AU7&gt;6,AX7&gt;6)),AI7&gt;6,OR(AJ7&gt;=AI7,AJ7&gt;6)),1,0))</f>
        <v>0</v>
      </c>
      <c r="AM7" s="241">
        <f t="shared" ref="AM7:AM17" si="15">IF($C7="","",IF(OR(AND(AU7&gt;6,AY7&gt;6),AU7+AX7&gt;12),1,0))</f>
        <v>1</v>
      </c>
      <c r="AN7" s="241">
        <f t="shared" ref="AN7:AN17" si="16">IF($C7="","",IF(AND(AU7&gt;6,AW7&gt;6,AX7&gt;6),1,0))</f>
        <v>0</v>
      </c>
      <c r="AO7" s="241">
        <f t="shared" ref="AO7:AO17" si="17">IF($C7="","",IF(AND(AW7&gt;7,OR(AU7&gt;6,AX7&gt;6)),1,0))</f>
        <v>0</v>
      </c>
      <c r="AP7" s="241">
        <f t="shared" ref="AP7:AP17" si="18">IF($C7="","",IF(AND(AW7&gt;6,OR(AU7&gt;6,AX7&gt;6)),1,0))</f>
        <v>1</v>
      </c>
      <c r="AQ7" s="241">
        <f t="shared" ref="AQ7:AQ17" si="19">IF($C7="","",IF(AND(OR(AU7&gt;6,AW7&gt;6),OR(AU7&gt;6,AX7&gt;6)),1,0))</f>
        <v>1</v>
      </c>
      <c r="AR7" s="241">
        <f t="shared" ref="AR7:AR17" si="20">IF($C7="","",IF(AND(AU7&gt;4,OR(AU7&gt;6,AW7&gt;6,AX7&gt;6)),1,0))</f>
        <v>1</v>
      </c>
      <c r="AS7" s="241">
        <f t="shared" ref="AS7:AS17" si="21">IF($C7="","",IF(AND(AU7&gt;4,OR(AU7&gt;6,AV7&gt;6,AW7&gt;6,AX7&gt;6)),1,0))</f>
        <v>1</v>
      </c>
      <c r="AT7" s="242">
        <f t="shared" ref="AT7:AT17" si="22">IF($C7="","",IF(AND(AU7&gt;4,MAX(AU7:AY7)&gt;6),1,0))</f>
        <v>1</v>
      </c>
      <c r="AU7" s="58">
        <f>IF($C7="","",VLOOKUP($C7,CTBat!$G$10:$BR$208,AU$4,FALSE))</f>
        <v>9</v>
      </c>
      <c r="AV7" s="37">
        <f>IF($C7="","",VLOOKUP($C7,CTBat!$G$10:$BR$208,AV$4,FALSE))</f>
        <v>7</v>
      </c>
      <c r="AW7" s="37">
        <f>IF($C7="","",VLOOKUP($C7,CTBat!$G$10:$BR$208,AW$4,FALSE))</f>
        <v>7</v>
      </c>
      <c r="AX7" s="37">
        <f>IF($C7="","",VLOOKUP($C7,CTBat!$G$10:$BR$208,AX$4,FALSE))</f>
        <v>3</v>
      </c>
      <c r="AY7" s="38">
        <f>IF($C7="","",VLOOKUP($C7,CTBat!$G$10:$BR$208,AY$4,FALSE))</f>
        <v>10</v>
      </c>
      <c r="AZ7" s="67">
        <f t="shared" ref="AZ7:AZ17" si="23">IF($C7="","",(5*AU7+4*AW7+3*AX7+2*AV7+1*AY7+0.5*(AVERAGE(AU7:AV7))+0.5*AVERAGE(AU7,AY7)+1*(AVERAGE(AU7,AW7))+1*AVERAGE(AU7,AX7))/(5+4+3+2+1+0.5+0.5+1+1))</f>
        <v>7.1527777777777777</v>
      </c>
    </row>
    <row r="8" spans="1:52">
      <c r="A8">
        <v>3</v>
      </c>
      <c r="B8" s="36" t="s">
        <v>102</v>
      </c>
      <c r="C8" s="37" t="s">
        <v>633</v>
      </c>
      <c r="D8" s="37">
        <f>IF($C8="","",VLOOKUP($C8,CTBat!$G$10:$BR$208,D$4,FALSE))</f>
        <v>21</v>
      </c>
      <c r="E8" s="37" t="str">
        <f>IF($C8="","",VLOOKUP($C8,CTBat!$G$10:$BR$208,E$4,FALSE))</f>
        <v>L</v>
      </c>
      <c r="F8" s="53">
        <f t="shared" si="3"/>
        <v>0</v>
      </c>
      <c r="G8" s="241">
        <f t="shared" si="4"/>
        <v>0</v>
      </c>
      <c r="H8" s="241">
        <f t="shared" si="5"/>
        <v>0</v>
      </c>
      <c r="I8" s="241">
        <f t="shared" si="0"/>
        <v>0</v>
      </c>
      <c r="J8" s="58">
        <f>IF($C8="","",VLOOKUP($C8,CTBat!$G$10:$BR$208,J$4,FALSE))</f>
        <v>1</v>
      </c>
      <c r="K8" s="37">
        <f>IF($C8="","",VLOOKUP($C8,CTBat!$G$10:$BR$208,K$4,FALSE))</f>
        <v>1</v>
      </c>
      <c r="L8" s="38">
        <f>IF($C8="","",VLOOKUP($C8,CTBat!$G$10:$BR$208,L$4,FALSE))</f>
        <v>3</v>
      </c>
      <c r="M8" s="37" t="str">
        <f>IF($C8="","",VLOOKUP($C8,CTBat!$G$10:$BR$208,M$4,FALSE))</f>
        <v>-</v>
      </c>
      <c r="N8" s="37">
        <f>IF($C8="","",VLOOKUP($C8,CTBat!$G$10:$BR$208,N$4,FALSE))</f>
        <v>1</v>
      </c>
      <c r="O8" s="37" t="str">
        <f>IF($C8="","",VLOOKUP($C8,CTBat!$G$10:$BR$208,O$4,FALSE))</f>
        <v>-</v>
      </c>
      <c r="P8" s="37" t="str">
        <f>IF($C8="","",VLOOKUP($C8,CTBat!$G$10:$BR$208,P$4,FALSE))</f>
        <v>-</v>
      </c>
      <c r="Q8" s="37" t="str">
        <f>IF($C8="","",VLOOKUP($C8,CTBat!$G$10:$BR$208,Q$4,FALSE))</f>
        <v>-</v>
      </c>
      <c r="R8" s="37">
        <f>IF($C8="","",VLOOKUP($C8,CTBat!$G$10:$BR$208,R$4,FALSE))</f>
        <v>1</v>
      </c>
      <c r="S8" s="37">
        <f>IF($C8="","",VLOOKUP($C8,CTBat!$G$10:$BR$208,S$4,FALSE))</f>
        <v>2</v>
      </c>
      <c r="T8" s="38">
        <f>IF($C8="","",VLOOKUP($C8,CTBat!$G$10:$BR$208,T$4,FALSE))</f>
        <v>5</v>
      </c>
      <c r="U8" s="53">
        <f t="shared" si="1"/>
        <v>0</v>
      </c>
      <c r="V8" s="241">
        <f t="shared" si="2"/>
        <v>0</v>
      </c>
      <c r="W8" s="241">
        <f t="shared" si="6"/>
        <v>0</v>
      </c>
      <c r="X8" s="241">
        <f t="shared" si="7"/>
        <v>0</v>
      </c>
      <c r="Y8" s="241">
        <f t="shared" si="8"/>
        <v>0</v>
      </c>
      <c r="Z8" s="241">
        <f t="shared" si="9"/>
        <v>0</v>
      </c>
      <c r="AA8" s="241">
        <f t="shared" si="10"/>
        <v>0</v>
      </c>
      <c r="AB8" s="241">
        <f t="shared" si="11"/>
        <v>0</v>
      </c>
      <c r="AC8" s="242">
        <f t="shared" si="12"/>
        <v>0</v>
      </c>
      <c r="AD8" s="37">
        <f>IF($C8="","",VLOOKUP($C8,CTBat!$G$10:$BR$208,AD$4,FALSE))</f>
        <v>3</v>
      </c>
      <c r="AE8" s="37">
        <f>IF($C8="","",VLOOKUP($C8,CTBat!$G$10:$BR$208,AE$4,FALSE))</f>
        <v>6</v>
      </c>
      <c r="AF8" s="37">
        <f>IF($C8="","",VLOOKUP($C8,CTBat!$G$10:$BR$208,AF$4,FALSE))</f>
        <v>2</v>
      </c>
      <c r="AG8" s="37">
        <f>IF($C8="","",VLOOKUP($C8,CTBat!$G$10:$BR$208,AG$4,FALSE))</f>
        <v>3</v>
      </c>
      <c r="AH8" s="37">
        <f>IF($C8="","",VLOOKUP($C8,CTBat!$G$10:$BR$208,AH$4,FALSE))</f>
        <v>3</v>
      </c>
      <c r="AI8" s="58">
        <f>IF($C8="","",VLOOKUP($C8,CTBat!$G$10:$BR$208,AI$4,FALSE))</f>
        <v>6</v>
      </c>
      <c r="AJ8" s="38">
        <f>IF($C8="","",VLOOKUP($C8,CTBat!$G$10:$BR$208,AJ$4,FALSE))</f>
        <v>6</v>
      </c>
      <c r="AK8" s="67">
        <f t="shared" si="13"/>
        <v>3.125</v>
      </c>
      <c r="AL8" s="53">
        <f t="shared" si="14"/>
        <v>0</v>
      </c>
      <c r="AM8" s="241">
        <f t="shared" si="15"/>
        <v>0</v>
      </c>
      <c r="AN8" s="241">
        <f t="shared" si="16"/>
        <v>0</v>
      </c>
      <c r="AO8" s="241">
        <f t="shared" si="17"/>
        <v>0</v>
      </c>
      <c r="AP8" s="241">
        <f t="shared" si="18"/>
        <v>0</v>
      </c>
      <c r="AQ8" s="241">
        <f t="shared" si="19"/>
        <v>0</v>
      </c>
      <c r="AR8" s="241">
        <f t="shared" si="20"/>
        <v>0</v>
      </c>
      <c r="AS8" s="241">
        <f t="shared" si="21"/>
        <v>1</v>
      </c>
      <c r="AT8" s="242">
        <f t="shared" si="22"/>
        <v>1</v>
      </c>
      <c r="AU8" s="58">
        <f>IF($C8="","",VLOOKUP($C8,CTBat!$G$10:$BR$208,AU$4,FALSE))</f>
        <v>5</v>
      </c>
      <c r="AV8" s="37">
        <f>IF($C8="","",VLOOKUP($C8,CTBat!$G$10:$BR$208,AV$4,FALSE))</f>
        <v>8</v>
      </c>
      <c r="AW8" s="37">
        <f>IF($C8="","",VLOOKUP($C8,CTBat!$G$10:$BR$208,AW$4,FALSE))</f>
        <v>5</v>
      </c>
      <c r="AX8" s="37">
        <f>IF($C8="","",VLOOKUP($C8,CTBat!$G$10:$BR$208,AX$4,FALSE))</f>
        <v>4</v>
      </c>
      <c r="AY8" s="38">
        <f>IF($C8="","",VLOOKUP($C8,CTBat!$G$10:$BR$208,AY$4,FALSE))</f>
        <v>5</v>
      </c>
      <c r="AZ8" s="67">
        <f t="shared" si="23"/>
        <v>5.1805555555555554</v>
      </c>
    </row>
    <row r="9" spans="1:52">
      <c r="A9">
        <v>4</v>
      </c>
      <c r="B9" s="36" t="s">
        <v>103</v>
      </c>
      <c r="C9" s="65" t="s">
        <v>502</v>
      </c>
      <c r="D9" s="37">
        <f>IF($C9="","",VLOOKUP($C9,CTBat!$G$10:$BR$208,D$4,FALSE))</f>
        <v>22</v>
      </c>
      <c r="E9" s="37" t="str">
        <f>IF($C9="","",VLOOKUP($C9,CTBat!$G$10:$BR$208,E$4,FALSE))</f>
        <v>R</v>
      </c>
      <c r="F9" s="53">
        <f t="shared" si="3"/>
        <v>0</v>
      </c>
      <c r="G9" s="241">
        <f t="shared" si="4"/>
        <v>0</v>
      </c>
      <c r="H9" s="241">
        <f t="shared" si="5"/>
        <v>1</v>
      </c>
      <c r="I9" s="241">
        <f t="shared" si="0"/>
        <v>0</v>
      </c>
      <c r="J9" s="58">
        <f>IF($C9="","",VLOOKUP($C9,CTBat!$G$10:$BR$208,J$4,FALSE))</f>
        <v>1</v>
      </c>
      <c r="K9" s="37">
        <f>IF($C9="","",VLOOKUP($C9,CTBat!$G$10:$BR$208,K$4,FALSE))</f>
        <v>1</v>
      </c>
      <c r="L9" s="38">
        <f>IF($C9="","",VLOOKUP($C9,CTBat!$G$10:$BR$208,L$4,FALSE))</f>
        <v>7</v>
      </c>
      <c r="M9" s="37" t="str">
        <f>IF($C9="","",VLOOKUP($C9,CTBat!$G$10:$BR$208,M$4,FALSE))</f>
        <v>-</v>
      </c>
      <c r="N9" s="37">
        <f>IF($C9="","",VLOOKUP($C9,CTBat!$G$10:$BR$208,N$4,FALSE))</f>
        <v>1</v>
      </c>
      <c r="O9" s="37" t="str">
        <f>IF($C9="","",VLOOKUP($C9,CTBat!$G$10:$BR$208,O$4,FALSE))</f>
        <v>-</v>
      </c>
      <c r="P9" s="37" t="str">
        <f>IF($C9="","",VLOOKUP($C9,CTBat!$G$10:$BR$208,P$4,FALSE))</f>
        <v>-</v>
      </c>
      <c r="Q9" s="37" t="str">
        <f>IF($C9="","",VLOOKUP($C9,CTBat!$G$10:$BR$208,Q$4,FALSE))</f>
        <v>-</v>
      </c>
      <c r="R9" s="37">
        <f>IF($C9="","",VLOOKUP($C9,CTBat!$G$10:$BR$208,R$4,FALSE))</f>
        <v>3</v>
      </c>
      <c r="S9" s="37" t="str">
        <f>IF($C9="","",VLOOKUP($C9,CTBat!$G$10:$BR$208,S$4,FALSE))</f>
        <v>-</v>
      </c>
      <c r="T9" s="38">
        <f>IF($C9="","",VLOOKUP($C9,CTBat!$G$10:$BR$208,T$4,FALSE))</f>
        <v>3</v>
      </c>
      <c r="U9" s="53">
        <f t="shared" si="1"/>
        <v>0</v>
      </c>
      <c r="V9" s="241">
        <f t="shared" si="2"/>
        <v>0</v>
      </c>
      <c r="W9" s="241">
        <f t="shared" si="6"/>
        <v>0</v>
      </c>
      <c r="X9" s="241">
        <f t="shared" si="7"/>
        <v>0</v>
      </c>
      <c r="Y9" s="241">
        <f t="shared" si="8"/>
        <v>0</v>
      </c>
      <c r="Z9" s="241">
        <f t="shared" si="9"/>
        <v>0</v>
      </c>
      <c r="AA9" s="241">
        <f t="shared" si="10"/>
        <v>0</v>
      </c>
      <c r="AB9" s="241">
        <f t="shared" si="11"/>
        <v>0</v>
      </c>
      <c r="AC9" s="242">
        <f t="shared" si="12"/>
        <v>0</v>
      </c>
      <c r="AD9" s="37">
        <f>IF($C9="","",VLOOKUP($C9,CTBat!$G$10:$BR$208,AD$4,FALSE))</f>
        <v>4</v>
      </c>
      <c r="AE9" s="37">
        <f>IF($C9="","",VLOOKUP($C9,CTBat!$G$10:$BR$208,AE$4,FALSE))</f>
        <v>3</v>
      </c>
      <c r="AF9" s="37">
        <f>IF($C9="","",VLOOKUP($C9,CTBat!$G$10:$BR$208,AF$4,FALSE))</f>
        <v>2</v>
      </c>
      <c r="AG9" s="37">
        <f>IF($C9="","",VLOOKUP($C9,CTBat!$G$10:$BR$208,AG$4,FALSE))</f>
        <v>2</v>
      </c>
      <c r="AH9" s="37">
        <f>IF($C9="","",VLOOKUP($C9,CTBat!$G$10:$BR$208,AH$4,FALSE))</f>
        <v>2</v>
      </c>
      <c r="AI9" s="58">
        <f>IF($C9="","",VLOOKUP($C9,CTBat!$G$10:$BR$208,AI$4,FALSE))</f>
        <v>4</v>
      </c>
      <c r="AJ9" s="38">
        <f>IF($C9="","",VLOOKUP($C9,CTBat!$G$10:$BR$208,AJ$4,FALSE))</f>
        <v>6</v>
      </c>
      <c r="AK9" s="67">
        <f t="shared" si="13"/>
        <v>2.8472222222222223</v>
      </c>
      <c r="AL9" s="53">
        <f t="shared" si="14"/>
        <v>0</v>
      </c>
      <c r="AM9" s="241">
        <f t="shared" si="15"/>
        <v>0</v>
      </c>
      <c r="AN9" s="241">
        <f t="shared" si="16"/>
        <v>0</v>
      </c>
      <c r="AO9" s="241">
        <f t="shared" si="17"/>
        <v>0</v>
      </c>
      <c r="AP9" s="241">
        <f t="shared" si="18"/>
        <v>0</v>
      </c>
      <c r="AQ9" s="241">
        <f t="shared" si="19"/>
        <v>0</v>
      </c>
      <c r="AR9" s="241">
        <f t="shared" si="20"/>
        <v>0</v>
      </c>
      <c r="AS9" s="241">
        <f t="shared" si="21"/>
        <v>0</v>
      </c>
      <c r="AT9" s="242">
        <f t="shared" si="22"/>
        <v>0</v>
      </c>
      <c r="AU9" s="58">
        <f>IF($C9="","",VLOOKUP($C9,CTBat!$G$10:$BR$208,AU$4,FALSE))</f>
        <v>5</v>
      </c>
      <c r="AV9" s="37">
        <f>IF($C9="","",VLOOKUP($C9,CTBat!$G$10:$BR$208,AV$4,FALSE))</f>
        <v>4</v>
      </c>
      <c r="AW9" s="37">
        <f>IF($C9="","",VLOOKUP($C9,CTBat!$G$10:$BR$208,AW$4,FALSE))</f>
        <v>6</v>
      </c>
      <c r="AX9" s="37">
        <f>IF($C9="","",VLOOKUP($C9,CTBat!$G$10:$BR$208,AX$4,FALSE))</f>
        <v>4</v>
      </c>
      <c r="AY9" s="38">
        <f>IF($C9="","",VLOOKUP($C9,CTBat!$G$10:$BR$208,AY$4,FALSE))</f>
        <v>4</v>
      </c>
      <c r="AZ9" s="67">
        <f t="shared" si="23"/>
        <v>4.8611111111111107</v>
      </c>
    </row>
    <row r="10" spans="1:52">
      <c r="A10">
        <v>5</v>
      </c>
      <c r="B10" s="36" t="s">
        <v>18</v>
      </c>
      <c r="C10" s="65" t="s">
        <v>500</v>
      </c>
      <c r="D10" s="37">
        <f>IF($C10="","",VLOOKUP($C10,CTBat!$G$10:$BR$208,D$4,FALSE))</f>
        <v>22</v>
      </c>
      <c r="E10" s="37" t="str">
        <f>IF($C10="","",VLOOKUP($C10,CTBat!$G$10:$BR$208,E$4,FALSE))</f>
        <v>R</v>
      </c>
      <c r="F10" s="53">
        <f t="shared" si="3"/>
        <v>1</v>
      </c>
      <c r="G10" s="241">
        <f t="shared" si="4"/>
        <v>1</v>
      </c>
      <c r="H10" s="241">
        <f t="shared" si="5"/>
        <v>0</v>
      </c>
      <c r="I10" s="241">
        <f t="shared" si="0"/>
        <v>0</v>
      </c>
      <c r="J10" s="58">
        <f>IF($C10="","",VLOOKUP($C10,CTBat!$G$10:$BR$208,J$4,FALSE))</f>
        <v>1</v>
      </c>
      <c r="K10" s="37">
        <f>IF($C10="","",VLOOKUP($C10,CTBat!$G$10:$BR$208,K$4,FALSE))</f>
        <v>2</v>
      </c>
      <c r="L10" s="38">
        <f>IF($C10="","",VLOOKUP($C10,CTBat!$G$10:$BR$208,L$4,FALSE))</f>
        <v>3</v>
      </c>
      <c r="M10" s="37" t="str">
        <f>IF($C10="","",VLOOKUP($C10,CTBat!$G$10:$BR$208,M$4,FALSE))</f>
        <v>-</v>
      </c>
      <c r="N10" s="37">
        <f>IF($C10="","",VLOOKUP($C10,CTBat!$G$10:$BR$208,N$4,FALSE))</f>
        <v>3</v>
      </c>
      <c r="O10" s="37" t="str">
        <f>IF($C10="","",VLOOKUP($C10,CTBat!$G$10:$BR$208,O$4,FALSE))</f>
        <v>-</v>
      </c>
      <c r="P10" s="37" t="str">
        <f>IF($C10="","",VLOOKUP($C10,CTBat!$G$10:$BR$208,P$4,FALSE))</f>
        <v>-</v>
      </c>
      <c r="Q10" s="37" t="str">
        <f>IF($C10="","",VLOOKUP($C10,CTBat!$G$10:$BR$208,Q$4,FALSE))</f>
        <v>-</v>
      </c>
      <c r="R10" s="37" t="str">
        <f>IF($C10="","",VLOOKUP($C10,CTBat!$G$10:$BR$208,R$4,FALSE))</f>
        <v>-</v>
      </c>
      <c r="S10" s="37" t="str">
        <f>IF($C10="","",VLOOKUP($C10,CTBat!$G$10:$BR$208,S$4,FALSE))</f>
        <v>-</v>
      </c>
      <c r="T10" s="38" t="str">
        <f>IF($C10="","",VLOOKUP($C10,CTBat!$G$10:$BR$208,T$4,FALSE))</f>
        <v>-</v>
      </c>
      <c r="U10" s="53">
        <f t="shared" si="1"/>
        <v>0</v>
      </c>
      <c r="V10" s="241">
        <f t="shared" si="2"/>
        <v>0</v>
      </c>
      <c r="W10" s="241">
        <f t="shared" si="6"/>
        <v>0</v>
      </c>
      <c r="X10" s="241">
        <f t="shared" si="7"/>
        <v>0</v>
      </c>
      <c r="Y10" s="241">
        <f t="shared" si="8"/>
        <v>0</v>
      </c>
      <c r="Z10" s="241">
        <f t="shared" si="9"/>
        <v>0</v>
      </c>
      <c r="AA10" s="241">
        <f t="shared" si="10"/>
        <v>0</v>
      </c>
      <c r="AB10" s="241">
        <f t="shared" si="11"/>
        <v>0</v>
      </c>
      <c r="AC10" s="242">
        <f t="shared" si="12"/>
        <v>0</v>
      </c>
      <c r="AD10" s="37">
        <f>IF($C10="","",VLOOKUP($C10,CTBat!$G$10:$BR$208,AD$4,FALSE))</f>
        <v>5</v>
      </c>
      <c r="AE10" s="37">
        <f>IF($C10="","",VLOOKUP($C10,CTBat!$G$10:$BR$208,AE$4,FALSE))</f>
        <v>3</v>
      </c>
      <c r="AF10" s="37">
        <f>IF($C10="","",VLOOKUP($C10,CTBat!$G$10:$BR$208,AF$4,FALSE))</f>
        <v>3</v>
      </c>
      <c r="AG10" s="37">
        <f>IF($C10="","",VLOOKUP($C10,CTBat!$G$10:$BR$208,AG$4,FALSE))</f>
        <v>2</v>
      </c>
      <c r="AH10" s="37">
        <f>IF($C10="","",VLOOKUP($C10,CTBat!$G$10:$BR$208,AH$4,FALSE))</f>
        <v>3</v>
      </c>
      <c r="AI10" s="58">
        <f>IF($C10="","",VLOOKUP($C10,CTBat!$G$10:$BR$208,AI$4,FALSE))</f>
        <v>2</v>
      </c>
      <c r="AJ10" s="38">
        <f>IF($C10="","",VLOOKUP($C10,CTBat!$G$10:$BR$208,AJ$4,FALSE))</f>
        <v>2</v>
      </c>
      <c r="AK10" s="67">
        <f t="shared" si="13"/>
        <v>3.5277777777777777</v>
      </c>
      <c r="AL10" s="53">
        <f t="shared" si="14"/>
        <v>0</v>
      </c>
      <c r="AM10" s="241">
        <f t="shared" si="15"/>
        <v>0</v>
      </c>
      <c r="AN10" s="241">
        <f t="shared" si="16"/>
        <v>0</v>
      </c>
      <c r="AO10" s="241">
        <f t="shared" si="17"/>
        <v>0</v>
      </c>
      <c r="AP10" s="241">
        <f t="shared" si="18"/>
        <v>1</v>
      </c>
      <c r="AQ10" s="241">
        <f t="shared" si="19"/>
        <v>1</v>
      </c>
      <c r="AR10" s="241">
        <f t="shared" si="20"/>
        <v>1</v>
      </c>
      <c r="AS10" s="241">
        <f t="shared" si="21"/>
        <v>1</v>
      </c>
      <c r="AT10" s="242">
        <f t="shared" si="22"/>
        <v>1</v>
      </c>
      <c r="AU10" s="58">
        <f>IF($C10="","",VLOOKUP($C10,CTBat!$G$10:$BR$208,AU$4,FALSE))</f>
        <v>7</v>
      </c>
      <c r="AV10" s="37">
        <f>IF($C10="","",VLOOKUP($C10,CTBat!$G$10:$BR$208,AV$4,FALSE))</f>
        <v>6</v>
      </c>
      <c r="AW10" s="37">
        <f>IF($C10="","",VLOOKUP($C10,CTBat!$G$10:$BR$208,AW$4,FALSE))</f>
        <v>7</v>
      </c>
      <c r="AX10" s="37">
        <f>IF($C10="","",VLOOKUP($C10,CTBat!$G$10:$BR$208,AX$4,FALSE))</f>
        <v>4</v>
      </c>
      <c r="AY10" s="38">
        <f>IF($C10="","",VLOOKUP($C10,CTBat!$G$10:$BR$208,AY$4,FALSE))</f>
        <v>5</v>
      </c>
      <c r="AZ10" s="67">
        <f t="shared" si="23"/>
        <v>6.1527777777777777</v>
      </c>
    </row>
    <row r="11" spans="1:52">
      <c r="A11">
        <v>6</v>
      </c>
      <c r="B11" s="36" t="s">
        <v>104</v>
      </c>
      <c r="C11" s="65" t="s">
        <v>240</v>
      </c>
      <c r="D11" s="37">
        <f>IF($C11="","",VLOOKUP($C11,CTBat!$G$10:$BR$208,D$4,FALSE))</f>
        <v>23</v>
      </c>
      <c r="E11" s="37" t="str">
        <f>IF($C11="","",VLOOKUP($C11,CTBat!$G$10:$BR$208,E$4,FALSE))</f>
        <v>R</v>
      </c>
      <c r="F11" s="53">
        <f t="shared" si="3"/>
        <v>0</v>
      </c>
      <c r="G11" s="241">
        <f t="shared" si="4"/>
        <v>0</v>
      </c>
      <c r="H11" s="241">
        <f t="shared" si="5"/>
        <v>0</v>
      </c>
      <c r="I11" s="241">
        <f>IF($C11="","",IF(AND(S11&gt;4,S11&lt;&gt;"-"),1,0))</f>
        <v>0</v>
      </c>
      <c r="J11" s="58">
        <f>IF($C11="","",VLOOKUP($C11,CTBat!$G$10:$BR$208,J$4,FALSE))</f>
        <v>1</v>
      </c>
      <c r="K11" s="37">
        <f>IF($C11="","",VLOOKUP($C11,CTBat!$G$10:$BR$208,K$4,FALSE))</f>
        <v>4</v>
      </c>
      <c r="L11" s="38">
        <f>IF($C11="","",VLOOKUP($C11,CTBat!$G$10:$BR$208,L$4,FALSE))</f>
        <v>3</v>
      </c>
      <c r="M11" s="37" t="str">
        <f>IF($C11="","",VLOOKUP($C11,CTBat!$G$10:$BR$208,M$4,FALSE))</f>
        <v>-</v>
      </c>
      <c r="N11" s="37">
        <f>IF($C11="","",VLOOKUP($C11,CTBat!$G$10:$BR$208,N$4,FALSE))</f>
        <v>6</v>
      </c>
      <c r="O11" s="37">
        <f>IF($C11="","",VLOOKUP($C11,CTBat!$G$10:$BR$208,O$4,FALSE))</f>
        <v>2</v>
      </c>
      <c r="P11" s="37">
        <f>IF($C11="","",VLOOKUP($C11,CTBat!$G$10:$BR$208,P$4,FALSE))</f>
        <v>1</v>
      </c>
      <c r="Q11" s="37">
        <f>IF($C11="","",VLOOKUP($C11,CTBat!$G$10:$BR$208,Q$4,FALSE))</f>
        <v>1</v>
      </c>
      <c r="R11" s="37">
        <f>IF($C11="","",VLOOKUP($C11,CTBat!$G$10:$BR$208,R$4,FALSE))</f>
        <v>1</v>
      </c>
      <c r="S11" s="37">
        <f>IF($C11="","",VLOOKUP($C11,CTBat!$G$10:$BR$208,S$4,FALSE))</f>
        <v>1</v>
      </c>
      <c r="T11" s="38" t="str">
        <f>IF($C11="","",VLOOKUP($C11,CTBat!$G$10:$BR$208,T$4,FALSE))</f>
        <v>-</v>
      </c>
      <c r="U11" s="53">
        <f t="shared" si="1"/>
        <v>0</v>
      </c>
      <c r="V11" s="241">
        <f t="shared" si="2"/>
        <v>0</v>
      </c>
      <c r="W11" s="241">
        <f t="shared" si="6"/>
        <v>0</v>
      </c>
      <c r="X11" s="241">
        <f t="shared" si="7"/>
        <v>0</v>
      </c>
      <c r="Y11" s="241">
        <f t="shared" si="8"/>
        <v>0</v>
      </c>
      <c r="Z11" s="241">
        <f t="shared" si="9"/>
        <v>0</v>
      </c>
      <c r="AA11" s="241">
        <f t="shared" si="10"/>
        <v>0</v>
      </c>
      <c r="AB11" s="241">
        <f t="shared" si="11"/>
        <v>0</v>
      </c>
      <c r="AC11" s="242">
        <f t="shared" si="12"/>
        <v>0</v>
      </c>
      <c r="AD11" s="37">
        <f>IF($C11="","",VLOOKUP($C11,CTBat!$G$10:$BR$208,AD$4,FALSE))</f>
        <v>5</v>
      </c>
      <c r="AE11" s="37">
        <f>IF($C11="","",VLOOKUP($C11,CTBat!$G$10:$BR$208,AE$4,FALSE))</f>
        <v>6</v>
      </c>
      <c r="AF11" s="37">
        <f>IF($C11="","",VLOOKUP($C11,CTBat!$G$10:$BR$208,AF$4,FALSE))</f>
        <v>1</v>
      </c>
      <c r="AG11" s="37">
        <f>IF($C11="","",VLOOKUP($C11,CTBat!$G$10:$BR$208,AG$4,FALSE))</f>
        <v>4</v>
      </c>
      <c r="AH11" s="37">
        <f>IF($C11="","",VLOOKUP($C11,CTBat!$G$10:$BR$208,AH$4,FALSE))</f>
        <v>3</v>
      </c>
      <c r="AI11" s="58">
        <f>IF($C11="","",VLOOKUP($C11,CTBat!$G$10:$BR$208,AI$4,FALSE))</f>
        <v>2</v>
      </c>
      <c r="AJ11" s="38">
        <f>IF($C11="","",VLOOKUP($C11,CTBat!$G$10:$BR$208,AJ$4,FALSE))</f>
        <v>5</v>
      </c>
      <c r="AK11" s="67">
        <f t="shared" si="13"/>
        <v>3.7916666666666665</v>
      </c>
      <c r="AL11" s="53">
        <f t="shared" si="14"/>
        <v>0</v>
      </c>
      <c r="AM11" s="241">
        <f t="shared" si="15"/>
        <v>0</v>
      </c>
      <c r="AN11" s="241">
        <f t="shared" si="16"/>
        <v>0</v>
      </c>
      <c r="AO11" s="241">
        <f t="shared" si="17"/>
        <v>0</v>
      </c>
      <c r="AP11" s="241">
        <f t="shared" si="18"/>
        <v>0</v>
      </c>
      <c r="AQ11" s="241">
        <f t="shared" si="19"/>
        <v>0</v>
      </c>
      <c r="AR11" s="241">
        <f t="shared" si="20"/>
        <v>0</v>
      </c>
      <c r="AS11" s="241">
        <f t="shared" si="21"/>
        <v>0</v>
      </c>
      <c r="AT11" s="242">
        <f t="shared" si="22"/>
        <v>0</v>
      </c>
      <c r="AU11" s="58">
        <f>IF($C11="","",VLOOKUP($C11,CTBat!$G$10:$BR$208,AU$4,FALSE))</f>
        <v>6</v>
      </c>
      <c r="AV11" s="37">
        <f>IF($C11="","",VLOOKUP($C11,CTBat!$G$10:$BR$208,AV$4,FALSE))</f>
        <v>6</v>
      </c>
      <c r="AW11" s="37">
        <f>IF($C11="","",VLOOKUP($C11,CTBat!$G$10:$BR$208,AW$4,FALSE))</f>
        <v>2</v>
      </c>
      <c r="AX11" s="37">
        <f>IF($C11="","",VLOOKUP($C11,CTBat!$G$10:$BR$208,AX$4,FALSE))</f>
        <v>5</v>
      </c>
      <c r="AY11" s="38">
        <f>IF($C11="","",VLOOKUP($C11,CTBat!$G$10:$BR$208,AY$4,FALSE))</f>
        <v>4</v>
      </c>
      <c r="AZ11" s="67">
        <f t="shared" si="23"/>
        <v>4.666666666666667</v>
      </c>
    </row>
    <row r="12" spans="1:52">
      <c r="A12">
        <v>7</v>
      </c>
      <c r="B12" s="36" t="s">
        <v>104</v>
      </c>
      <c r="C12" s="65" t="s">
        <v>634</v>
      </c>
      <c r="D12" s="37">
        <f>IF($C12="","",VLOOKUP($C12,CTBat!$G$10:$BR$208,D$4,FALSE))</f>
        <v>20</v>
      </c>
      <c r="E12" s="37" t="str">
        <f>IF($C12="","",VLOOKUP($C12,CTBat!$G$10:$BR$208,E$4,FALSE))</f>
        <v>R</v>
      </c>
      <c r="F12" s="53">
        <f t="shared" si="3"/>
        <v>1</v>
      </c>
      <c r="G12" s="241">
        <f t="shared" si="4"/>
        <v>1</v>
      </c>
      <c r="H12" s="241">
        <f t="shared" si="5"/>
        <v>0</v>
      </c>
      <c r="I12" s="241">
        <f t="shared" ref="I12:I17" si="24">IF($C12="","",IF(AND(S12&gt;4,S12&lt;&gt;"-"),1,0))</f>
        <v>0</v>
      </c>
      <c r="J12" s="58">
        <f>IF($C12="","",VLOOKUP($C12,CTBat!$G$10:$BR$208,J$4,FALSE))</f>
        <v>1</v>
      </c>
      <c r="K12" s="37">
        <f>IF($C12="","",VLOOKUP($C12,CTBat!$G$10:$BR$208,K$4,FALSE))</f>
        <v>2</v>
      </c>
      <c r="L12" s="38">
        <f>IF($C12="","",VLOOKUP($C12,CTBat!$G$10:$BR$208,L$4,FALSE))</f>
        <v>1</v>
      </c>
      <c r="M12" s="37" t="str">
        <f>IF($C12="","",VLOOKUP($C12,CTBat!$G$10:$BR$208,M$4,FALSE))</f>
        <v>-</v>
      </c>
      <c r="N12" s="37">
        <f>IF($C12="","",VLOOKUP($C12,CTBat!$G$10:$BR$208,N$4,FALSE))</f>
        <v>2</v>
      </c>
      <c r="O12" s="37" t="str">
        <f>IF($C12="","",VLOOKUP($C12,CTBat!$G$10:$BR$208,O$4,FALSE))</f>
        <v>-</v>
      </c>
      <c r="P12" s="37" t="str">
        <f>IF($C12="","",VLOOKUP($C12,CTBat!$G$10:$BR$208,P$4,FALSE))</f>
        <v>-</v>
      </c>
      <c r="Q12" s="37" t="str">
        <f>IF($C12="","",VLOOKUP($C12,CTBat!$G$10:$BR$208,Q$4,FALSE))</f>
        <v>-</v>
      </c>
      <c r="R12" s="37" t="str">
        <f>IF($C12="","",VLOOKUP($C12,CTBat!$G$10:$BR$208,R$4,FALSE))</f>
        <v>-</v>
      </c>
      <c r="S12" s="37" t="str">
        <f>IF($C12="","",VLOOKUP($C12,CTBat!$G$10:$BR$208,S$4,FALSE))</f>
        <v>-</v>
      </c>
      <c r="T12" s="38" t="str">
        <f>IF($C12="","",VLOOKUP($C12,CTBat!$G$10:$BR$208,T$4,FALSE))</f>
        <v>-</v>
      </c>
      <c r="U12" s="53">
        <f t="shared" si="1"/>
        <v>0</v>
      </c>
      <c r="V12" s="241">
        <f t="shared" si="2"/>
        <v>0</v>
      </c>
      <c r="W12" s="241">
        <f t="shared" si="6"/>
        <v>0</v>
      </c>
      <c r="X12" s="241">
        <f t="shared" si="7"/>
        <v>0</v>
      </c>
      <c r="Y12" s="241">
        <f t="shared" si="8"/>
        <v>0</v>
      </c>
      <c r="Z12" s="241">
        <f t="shared" si="9"/>
        <v>0</v>
      </c>
      <c r="AA12" s="241">
        <f t="shared" si="10"/>
        <v>0</v>
      </c>
      <c r="AB12" s="241">
        <f t="shared" si="11"/>
        <v>0</v>
      </c>
      <c r="AC12" s="242">
        <f t="shared" si="12"/>
        <v>0</v>
      </c>
      <c r="AD12" s="37">
        <f>IF($C12="","",VLOOKUP($C12,CTBat!$G$10:$BR$208,AD$4,FALSE))</f>
        <v>2</v>
      </c>
      <c r="AE12" s="37">
        <f>IF($C12="","",VLOOKUP($C12,CTBat!$G$10:$BR$208,AE$4,FALSE))</f>
        <v>3</v>
      </c>
      <c r="AF12" s="37">
        <f>IF($C12="","",VLOOKUP($C12,CTBat!$G$10:$BR$208,AF$4,FALSE))</f>
        <v>1</v>
      </c>
      <c r="AG12" s="37">
        <f>IF($C12="","",VLOOKUP($C12,CTBat!$G$10:$BR$208,AG$4,FALSE))</f>
        <v>2</v>
      </c>
      <c r="AH12" s="37">
        <f>IF($C12="","",VLOOKUP($C12,CTBat!$G$10:$BR$208,AH$4,FALSE))</f>
        <v>1</v>
      </c>
      <c r="AI12" s="58">
        <f>IF($C12="","",VLOOKUP($C12,CTBat!$G$10:$BR$208,AI$4,FALSE))</f>
        <v>6</v>
      </c>
      <c r="AJ12" s="38">
        <f>IF($C12="","",VLOOKUP($C12,CTBat!$G$10:$BR$208,AJ$4,FALSE))</f>
        <v>9</v>
      </c>
      <c r="AK12" s="67">
        <f t="shared" si="13"/>
        <v>1.8055555555555556</v>
      </c>
      <c r="AL12" s="53">
        <f t="shared" si="14"/>
        <v>0</v>
      </c>
      <c r="AM12" s="241">
        <f t="shared" si="15"/>
        <v>0</v>
      </c>
      <c r="AN12" s="241">
        <f t="shared" si="16"/>
        <v>0</v>
      </c>
      <c r="AO12" s="241">
        <f t="shared" si="17"/>
        <v>0</v>
      </c>
      <c r="AP12" s="241">
        <f t="shared" si="18"/>
        <v>0</v>
      </c>
      <c r="AQ12" s="241">
        <f t="shared" si="19"/>
        <v>0</v>
      </c>
      <c r="AR12" s="241">
        <f t="shared" si="20"/>
        <v>0</v>
      </c>
      <c r="AS12" s="241">
        <f t="shared" si="21"/>
        <v>0</v>
      </c>
      <c r="AT12" s="242">
        <f t="shared" si="22"/>
        <v>0</v>
      </c>
      <c r="AU12" s="58">
        <f>IF($C12="","",VLOOKUP($C12,CTBat!$G$10:$BR$208,AU$4,FALSE))</f>
        <v>5</v>
      </c>
      <c r="AV12" s="37">
        <f>IF($C12="","",VLOOKUP($C12,CTBat!$G$10:$BR$208,AV$4,FALSE))</f>
        <v>5</v>
      </c>
      <c r="AW12" s="37">
        <f>IF($C12="","",VLOOKUP($C12,CTBat!$G$10:$BR$208,AW$4,FALSE))</f>
        <v>6</v>
      </c>
      <c r="AX12" s="37">
        <f>IF($C12="","",VLOOKUP($C12,CTBat!$G$10:$BR$208,AX$4,FALSE))</f>
        <v>6</v>
      </c>
      <c r="AY12" s="38">
        <f>IF($C12="","",VLOOKUP($C12,CTBat!$G$10:$BR$208,AY$4,FALSE))</f>
        <v>5</v>
      </c>
      <c r="AZ12" s="67">
        <f t="shared" si="23"/>
        <v>5.4444444444444446</v>
      </c>
    </row>
    <row r="13" spans="1:52">
      <c r="A13">
        <v>8</v>
      </c>
      <c r="B13" s="36" t="s">
        <v>104</v>
      </c>
      <c r="C13" s="65" t="s">
        <v>503</v>
      </c>
      <c r="D13" s="37">
        <f>IF($C13="","",VLOOKUP($C13,CTBat!$G$10:$BR$208,D$4,FALSE))</f>
        <v>19</v>
      </c>
      <c r="E13" s="37" t="str">
        <f>IF($C13="","",VLOOKUP($C13,CTBat!$G$10:$BR$208,E$4,FALSE))</f>
        <v>L</v>
      </c>
      <c r="F13" s="53">
        <f t="shared" ref="F13" si="25">IF($C13="","",IF(AND(N13&gt;0,N13=SUM(M13:T13)),1,0))</f>
        <v>0</v>
      </c>
      <c r="G13" s="288">
        <f t="shared" ref="G13" si="26">IF($C13="","",IF(AND(OR(N13&gt;0,R13&gt;0),SUM(N13,R13)=SUM(M13:T13)),1,0))</f>
        <v>0</v>
      </c>
      <c r="H13" s="288">
        <f t="shared" ref="H13" si="27">IF($C13="","",IF(L13&gt;6,1,0))</f>
        <v>1</v>
      </c>
      <c r="I13" s="288">
        <f t="shared" ref="I13" si="28">IF($C13="","",IF(AND(S13&gt;4,S13&lt;&gt;"-"),1,0))</f>
        <v>0</v>
      </c>
      <c r="J13" s="58">
        <f>IF($C13="","",VLOOKUP($C13,CTBat!$G$10:$BR$208,J$4,FALSE))</f>
        <v>1</v>
      </c>
      <c r="K13" s="37">
        <f>IF($C13="","",VLOOKUP($C13,CTBat!$G$10:$BR$208,K$4,FALSE))</f>
        <v>1</v>
      </c>
      <c r="L13" s="38">
        <f>IF($C13="","",VLOOKUP($C13,CTBat!$G$10:$BR$208,L$4,FALSE))</f>
        <v>7</v>
      </c>
      <c r="M13" s="37" t="str">
        <f>IF($C13="","",VLOOKUP($C13,CTBat!$G$10:$BR$208,M$4,FALSE))</f>
        <v>-</v>
      </c>
      <c r="N13" s="37" t="str">
        <f>IF($C13="","",VLOOKUP($C13,CTBat!$G$10:$BR$208,N$4,FALSE))</f>
        <v>-</v>
      </c>
      <c r="O13" s="37" t="str">
        <f>IF($C13="","",VLOOKUP($C13,CTBat!$G$10:$BR$208,O$4,FALSE))</f>
        <v>-</v>
      </c>
      <c r="P13" s="37" t="str">
        <f>IF($C13="","",VLOOKUP($C13,CTBat!$G$10:$BR$208,P$4,FALSE))</f>
        <v>-</v>
      </c>
      <c r="Q13" s="37" t="str">
        <f>IF($C13="","",VLOOKUP($C13,CTBat!$G$10:$BR$208,Q$4,FALSE))</f>
        <v>-</v>
      </c>
      <c r="R13" s="37">
        <f>IF($C13="","",VLOOKUP($C13,CTBat!$G$10:$BR$208,R$4,FALSE))</f>
        <v>1</v>
      </c>
      <c r="S13" s="37" t="str">
        <f>IF($C13="","",VLOOKUP($C13,CTBat!$G$10:$BR$208,S$4,FALSE))</f>
        <v>-</v>
      </c>
      <c r="T13" s="38">
        <f>IF($C13="","",VLOOKUP($C13,CTBat!$G$10:$BR$208,T$4,FALSE))</f>
        <v>2</v>
      </c>
      <c r="U13" s="53">
        <f t="shared" ref="U13" si="29">IF($C13="","",IF(OR(AD13+AG13&gt;14,AND(OR(AD13+AG13&gt;12,AND(AD13&gt;6,AG13&gt;6)),AI13&gt;6,OR(AJ13&gt;=AI13,AJ13&gt;6))),1,0))</f>
        <v>0</v>
      </c>
      <c r="V13" s="288">
        <f t="shared" ref="V13" si="30">IF($C13="","",IF(OR(AND(AD13&gt;6,AH13&gt;6),AD13+AG13&gt;12),1,0))</f>
        <v>0</v>
      </c>
      <c r="W13" s="288">
        <f t="shared" ref="W13" si="31">IF($C13="","",IF(AND(AD13&gt;6,AF13&gt;6,AG13&gt;6),1,0))</f>
        <v>0</v>
      </c>
      <c r="X13" s="288">
        <f t="shared" ref="X13" si="32">IF($C13="","",IF(AND(AF13&gt;7,OR(AD13&gt;6,AG13&gt;6)),1,0))</f>
        <v>0</v>
      </c>
      <c r="Y13" s="288">
        <f t="shared" ref="Y13" si="33">IF($C13="","",IF(AND(AF13&gt;6,OR(AD13&gt;6,AG13&gt;6)),1,0))</f>
        <v>0</v>
      </c>
      <c r="Z13" s="288">
        <f t="shared" ref="Z13" si="34">IF($C13="","",IF(AND(OR(AD13&gt;6,AF13&gt;6),OR(AD13&gt;6,AG13&gt;6)),1,0))</f>
        <v>0</v>
      </c>
      <c r="AA13" s="288">
        <f t="shared" ref="AA13" si="35">IF($C13="","",IF(AND(AD13&gt;4,OR(AD13&gt;6,AF13&gt;6,AG13&gt;6)),1,0))</f>
        <v>0</v>
      </c>
      <c r="AB13" s="288">
        <f t="shared" ref="AB13" si="36">IF($C13="","",IF(AND(AD13&gt;4,OR(AD13&gt;6,AE13&gt;6,AF13&gt;6,AG13&gt;6)),1,0))</f>
        <v>0</v>
      </c>
      <c r="AC13" s="289">
        <f t="shared" ref="AC13" si="37">IF($C13="","",IF(AND(AD13&gt;4,MAX(AD13:AH13)&gt;6),1,0))</f>
        <v>0</v>
      </c>
      <c r="AD13" s="37">
        <f>IF($C13="","",VLOOKUP($C13,CTBat!$G$10:$BR$208,AD$4,FALSE))</f>
        <v>2</v>
      </c>
      <c r="AE13" s="37">
        <f>IF($C13="","",VLOOKUP($C13,CTBat!$G$10:$BR$208,AE$4,FALSE))</f>
        <v>3</v>
      </c>
      <c r="AF13" s="37">
        <f>IF($C13="","",VLOOKUP($C13,CTBat!$G$10:$BR$208,AF$4,FALSE))</f>
        <v>1</v>
      </c>
      <c r="AG13" s="37">
        <f>IF($C13="","",VLOOKUP($C13,CTBat!$G$10:$BR$208,AG$4,FALSE))</f>
        <v>1</v>
      </c>
      <c r="AH13" s="37">
        <f>IF($C13="","",VLOOKUP($C13,CTBat!$G$10:$BR$208,AH$4,FALSE))</f>
        <v>2</v>
      </c>
      <c r="AI13" s="58">
        <f>IF($C13="","",VLOOKUP($C13,CTBat!$G$10:$BR$208,AI$4,FALSE))</f>
        <v>10</v>
      </c>
      <c r="AJ13" s="38">
        <f>IF($C13="","",VLOOKUP($C13,CTBat!$G$10:$BR$208,AJ$4,FALSE))</f>
        <v>10</v>
      </c>
      <c r="AK13" s="67">
        <f t="shared" ref="AK13" si="38">IF($C13="","",(5*AD13+4*AF13+3*AG13+2*AE13+1*AH13+0.5*(AVERAGE(AD13:AE13))+0.5*AVERAGE(AD13,AH13)+1*(AVERAGE(AD13,AF13))+1*AVERAGE(AD13,AG13))/(5+4+3+2+1+0.5+0.5+1+1))</f>
        <v>1.6805555555555556</v>
      </c>
      <c r="AL13" s="53">
        <f t="shared" ref="AL13" si="39">IF($C13="","",IF(AND(OR(AU13+AX13&gt;12,AND(AU13&gt;6,AX13&gt;6)),AI13&gt;6,OR(AJ13&gt;=AI13,AJ13&gt;6)),1,0))</f>
        <v>0</v>
      </c>
      <c r="AM13" s="288">
        <f t="shared" ref="AM13" si="40">IF($C13="","",IF(OR(AND(AU13&gt;6,AY13&gt;6),AU13+AX13&gt;12),1,0))</f>
        <v>0</v>
      </c>
      <c r="AN13" s="288">
        <f t="shared" ref="AN13" si="41">IF($C13="","",IF(AND(AU13&gt;6,AW13&gt;6,AX13&gt;6),1,0))</f>
        <v>0</v>
      </c>
      <c r="AO13" s="288">
        <f t="shared" ref="AO13" si="42">IF($C13="","",IF(AND(AW13&gt;7,OR(AU13&gt;6,AX13&gt;6)),1,0))</f>
        <v>0</v>
      </c>
      <c r="AP13" s="288">
        <f t="shared" ref="AP13" si="43">IF($C13="","",IF(AND(AW13&gt;6,OR(AU13&gt;6,AX13&gt;6)),1,0))</f>
        <v>0</v>
      </c>
      <c r="AQ13" s="288">
        <f t="shared" ref="AQ13" si="44">IF($C13="","",IF(AND(OR(AU13&gt;6,AW13&gt;6),OR(AU13&gt;6,AX13&gt;6)),1,0))</f>
        <v>0</v>
      </c>
      <c r="AR13" s="288">
        <f t="shared" ref="AR13" si="45">IF($C13="","",IF(AND(AU13&gt;4,OR(AU13&gt;6,AW13&gt;6,AX13&gt;6)),1,0))</f>
        <v>0</v>
      </c>
      <c r="AS13" s="288">
        <f t="shared" ref="AS13" si="46">IF($C13="","",IF(AND(AU13&gt;4,OR(AU13&gt;6,AV13&gt;6,AW13&gt;6,AX13&gt;6)),1,0))</f>
        <v>1</v>
      </c>
      <c r="AT13" s="289">
        <f t="shared" ref="AT13" si="47">IF($C13="","",IF(AND(AU13&gt;4,MAX(AU13:AY13)&gt;6),1,0))</f>
        <v>1</v>
      </c>
      <c r="AU13" s="58">
        <f>IF($C13="","",VLOOKUP($C13,CTBat!$G$10:$BR$208,AU$4,FALSE))</f>
        <v>5</v>
      </c>
      <c r="AV13" s="37">
        <f>IF($C13="","",VLOOKUP($C13,CTBat!$G$10:$BR$208,AV$4,FALSE))</f>
        <v>7</v>
      </c>
      <c r="AW13" s="37">
        <f>IF($C13="","",VLOOKUP($C13,CTBat!$G$10:$BR$208,AW$4,FALSE))</f>
        <v>4</v>
      </c>
      <c r="AX13" s="37">
        <f>IF($C13="","",VLOOKUP($C13,CTBat!$G$10:$BR$208,AX$4,FALSE))</f>
        <v>5</v>
      </c>
      <c r="AY13" s="38">
        <f>IF($C13="","",VLOOKUP($C13,CTBat!$G$10:$BR$208,AY$4,FALSE))</f>
        <v>4</v>
      </c>
      <c r="AZ13" s="67">
        <f t="shared" ref="AZ13" si="48">IF($C13="","",(5*AU13+4*AW13+3*AX13+2*AV13+1*AY13+0.5*(AVERAGE(AU13:AV13))+0.5*AVERAGE(AU13,AY13)+1*(AVERAGE(AU13,AW13))+1*AVERAGE(AU13,AX13))/(5+4+3+2+1+0.5+0.5+1+1))</f>
        <v>4.9305555555555554</v>
      </c>
    </row>
    <row r="14" spans="1:52">
      <c r="A14">
        <v>9</v>
      </c>
      <c r="B14" s="36" t="s">
        <v>104</v>
      </c>
      <c r="C14" s="65" t="s">
        <v>549</v>
      </c>
      <c r="D14" s="37">
        <f>IF($C14="","",VLOOKUP($C14,CTBat!$G$10:$BR$208,D$4,FALSE))</f>
        <v>19</v>
      </c>
      <c r="E14" s="37" t="str">
        <f>IF($C14="","",VLOOKUP($C14,CTBat!$G$10:$BR$208,E$4,FALSE))</f>
        <v>R</v>
      </c>
      <c r="F14" s="53">
        <f t="shared" si="3"/>
        <v>0</v>
      </c>
      <c r="G14" s="241">
        <f t="shared" si="4"/>
        <v>0</v>
      </c>
      <c r="H14" s="241">
        <f t="shared" si="5"/>
        <v>1</v>
      </c>
      <c r="I14" s="241">
        <f t="shared" si="24"/>
        <v>0</v>
      </c>
      <c r="J14" s="58">
        <f>IF($C14="","",VLOOKUP($C14,CTBat!$G$10:$BR$208,J$4,FALSE))</f>
        <v>1</v>
      </c>
      <c r="K14" s="37">
        <f>IF($C14="","",VLOOKUP($C14,CTBat!$G$10:$BR$208,K$4,FALSE))</f>
        <v>1</v>
      </c>
      <c r="L14" s="38">
        <f>IF($C14="","",VLOOKUP($C14,CTBat!$G$10:$BR$208,L$4,FALSE))</f>
        <v>7</v>
      </c>
      <c r="M14" s="37" t="str">
        <f>IF($C14="","",VLOOKUP($C14,CTBat!$G$10:$BR$208,M$4,FALSE))</f>
        <v>-</v>
      </c>
      <c r="N14" s="37" t="str">
        <f>IF($C14="","",VLOOKUP($C14,CTBat!$G$10:$BR$208,N$4,FALSE))</f>
        <v>-</v>
      </c>
      <c r="O14" s="37" t="str">
        <f>IF($C14="","",VLOOKUP($C14,CTBat!$G$10:$BR$208,O$4,FALSE))</f>
        <v>-</v>
      </c>
      <c r="P14" s="37" t="str">
        <f>IF($C14="","",VLOOKUP($C14,CTBat!$G$10:$BR$208,P$4,FALSE))</f>
        <v>-</v>
      </c>
      <c r="Q14" s="37" t="str">
        <f>IF($C14="","",VLOOKUP($C14,CTBat!$G$10:$BR$208,Q$4,FALSE))</f>
        <v>-</v>
      </c>
      <c r="R14" s="37">
        <f>IF($C14="","",VLOOKUP($C14,CTBat!$G$10:$BR$208,R$4,FALSE))</f>
        <v>1</v>
      </c>
      <c r="S14" s="37">
        <f>IF($C14="","",VLOOKUP($C14,CTBat!$G$10:$BR$208,S$4,FALSE))</f>
        <v>2</v>
      </c>
      <c r="T14" s="38">
        <f>IF($C14="","",VLOOKUP($C14,CTBat!$G$10:$BR$208,T$4,FALSE))</f>
        <v>1</v>
      </c>
      <c r="U14" s="53">
        <f t="shared" si="1"/>
        <v>0</v>
      </c>
      <c r="V14" s="241">
        <f t="shared" si="2"/>
        <v>0</v>
      </c>
      <c r="W14" s="241">
        <f t="shared" si="6"/>
        <v>0</v>
      </c>
      <c r="X14" s="241">
        <f t="shared" si="7"/>
        <v>0</v>
      </c>
      <c r="Y14" s="241">
        <f t="shared" si="8"/>
        <v>0</v>
      </c>
      <c r="Z14" s="241">
        <f t="shared" si="9"/>
        <v>0</v>
      </c>
      <c r="AA14" s="241">
        <f t="shared" si="10"/>
        <v>0</v>
      </c>
      <c r="AB14" s="241">
        <f t="shared" si="11"/>
        <v>0</v>
      </c>
      <c r="AC14" s="242">
        <f t="shared" si="12"/>
        <v>0</v>
      </c>
      <c r="AD14" s="37">
        <f>IF($C14="","",VLOOKUP($C14,CTBat!$G$10:$BR$208,AD$4,FALSE))</f>
        <v>1</v>
      </c>
      <c r="AE14" s="37">
        <f>IF($C14="","",VLOOKUP($C14,CTBat!$G$10:$BR$208,AE$4,FALSE))</f>
        <v>3</v>
      </c>
      <c r="AF14" s="37">
        <f>IF($C14="","",VLOOKUP($C14,CTBat!$G$10:$BR$208,AF$4,FALSE))</f>
        <v>1</v>
      </c>
      <c r="AG14" s="37">
        <f>IF($C14="","",VLOOKUP($C14,CTBat!$G$10:$BR$208,AG$4,FALSE))</f>
        <v>2</v>
      </c>
      <c r="AH14" s="37">
        <f>IF($C14="","",VLOOKUP($C14,CTBat!$G$10:$BR$208,AH$4,FALSE))</f>
        <v>1</v>
      </c>
      <c r="AI14" s="58">
        <f>IF($C14="","",VLOOKUP($C14,CTBat!$G$10:$BR$208,AI$4,FALSE))</f>
        <v>8</v>
      </c>
      <c r="AJ14" s="38">
        <f>IF($C14="","",VLOOKUP($C14,CTBat!$G$10:$BR$208,AJ$4,FALSE))</f>
        <v>9</v>
      </c>
      <c r="AK14" s="67">
        <f t="shared" si="13"/>
        <v>1.4444444444444444</v>
      </c>
      <c r="AL14" s="53">
        <f t="shared" si="14"/>
        <v>0</v>
      </c>
      <c r="AM14" s="241">
        <f t="shared" si="15"/>
        <v>0</v>
      </c>
      <c r="AN14" s="241">
        <f t="shared" si="16"/>
        <v>0</v>
      </c>
      <c r="AO14" s="241">
        <f t="shared" si="17"/>
        <v>0</v>
      </c>
      <c r="AP14" s="241">
        <f t="shared" si="18"/>
        <v>0</v>
      </c>
      <c r="AQ14" s="241">
        <f t="shared" si="19"/>
        <v>0</v>
      </c>
      <c r="AR14" s="241">
        <f t="shared" si="20"/>
        <v>0</v>
      </c>
      <c r="AS14" s="241">
        <f t="shared" si="21"/>
        <v>1</v>
      </c>
      <c r="AT14" s="242">
        <f t="shared" si="22"/>
        <v>1</v>
      </c>
      <c r="AU14" s="58">
        <f>IF($C14="","",VLOOKUP($C14,CTBat!$G$10:$BR$208,AU$4,FALSE))</f>
        <v>5</v>
      </c>
      <c r="AV14" s="37">
        <f>IF($C14="","",VLOOKUP($C14,CTBat!$G$10:$BR$208,AV$4,FALSE))</f>
        <v>9</v>
      </c>
      <c r="AW14" s="37">
        <f>IF($C14="","",VLOOKUP($C14,CTBat!$G$10:$BR$208,AW$4,FALSE))</f>
        <v>2</v>
      </c>
      <c r="AX14" s="37">
        <f>IF($C14="","",VLOOKUP($C14,CTBat!$G$10:$BR$208,AX$4,FALSE))</f>
        <v>4</v>
      </c>
      <c r="AY14" s="38">
        <f>IF($C14="","",VLOOKUP($C14,CTBat!$G$10:$BR$208,AY$4,FALSE))</f>
        <v>4</v>
      </c>
      <c r="AZ14" s="67">
        <f t="shared" si="23"/>
        <v>4.4861111111111107</v>
      </c>
    </row>
    <row r="15" spans="1:52">
      <c r="A15">
        <v>9</v>
      </c>
      <c r="B15" s="36" t="s">
        <v>104</v>
      </c>
      <c r="C15" s="65" t="s">
        <v>550</v>
      </c>
      <c r="D15" s="37">
        <f>IF($C15="","",VLOOKUP($C15,CTBat!$G$10:$BR$208,D$4,FALSE))</f>
        <v>17</v>
      </c>
      <c r="E15" s="37" t="str">
        <f>IF($C15="","",VLOOKUP($C15,CTBat!$G$10:$BR$208,E$4,FALSE))</f>
        <v>R</v>
      </c>
      <c r="F15" s="53">
        <f t="shared" ref="F15:F16" si="49">IF($C15="","",IF(AND(N15&gt;0,N15=SUM(M15:T15)),1,0))</f>
        <v>1</v>
      </c>
      <c r="G15" s="288">
        <f t="shared" ref="G15:G16" si="50">IF($C15="","",IF(AND(OR(N15&gt;0,R15&gt;0),SUM(N15,R15)=SUM(M15:T15)),1,0))</f>
        <v>1</v>
      </c>
      <c r="H15" s="288">
        <f t="shared" ref="H15:H16" si="51">IF($C15="","",IF(L15&gt;6,1,0))</f>
        <v>0</v>
      </c>
      <c r="I15" s="288">
        <f t="shared" ref="I15:I16" si="52">IF($C15="","",IF(AND(S15&gt;4,S15&lt;&gt;"-"),1,0))</f>
        <v>0</v>
      </c>
      <c r="J15" s="58">
        <f>IF($C15="","",VLOOKUP($C15,CTBat!$G$10:$BR$208,J$4,FALSE))</f>
        <v>1</v>
      </c>
      <c r="K15" s="37">
        <f>IF($C15="","",VLOOKUP($C15,CTBat!$G$10:$BR$208,K$4,FALSE))</f>
        <v>3</v>
      </c>
      <c r="L15" s="38">
        <f>IF($C15="","",VLOOKUP($C15,CTBat!$G$10:$BR$208,L$4,FALSE))</f>
        <v>2</v>
      </c>
      <c r="M15" s="37" t="str">
        <f>IF($C15="","",VLOOKUP($C15,CTBat!$G$10:$BR$208,M$4,FALSE))</f>
        <v>-</v>
      </c>
      <c r="N15" s="37">
        <f>IF($C15="","",VLOOKUP($C15,CTBat!$G$10:$BR$208,N$4,FALSE))</f>
        <v>2</v>
      </c>
      <c r="O15" s="37" t="str">
        <f>IF($C15="","",VLOOKUP($C15,CTBat!$G$10:$BR$208,O$4,FALSE))</f>
        <v>-</v>
      </c>
      <c r="P15" s="37" t="str">
        <f>IF($C15="","",VLOOKUP($C15,CTBat!$G$10:$BR$208,P$4,FALSE))</f>
        <v>-</v>
      </c>
      <c r="Q15" s="37" t="str">
        <f>IF($C15="","",VLOOKUP($C15,CTBat!$G$10:$BR$208,Q$4,FALSE))</f>
        <v>-</v>
      </c>
      <c r="R15" s="37" t="str">
        <f>IF($C15="","",VLOOKUP($C15,CTBat!$G$10:$BR$208,R$4,FALSE))</f>
        <v>-</v>
      </c>
      <c r="S15" s="37" t="str">
        <f>IF($C15="","",VLOOKUP($C15,CTBat!$G$10:$BR$208,S$4,FALSE))</f>
        <v>-</v>
      </c>
      <c r="T15" s="38" t="str">
        <f>IF($C15="","",VLOOKUP($C15,CTBat!$G$10:$BR$208,T$4,FALSE))</f>
        <v>-</v>
      </c>
      <c r="U15" s="53">
        <f t="shared" ref="U15:U16" si="53">IF($C15="","",IF(OR(AD15+AG15&gt;14,AND(OR(AD15+AG15&gt;12,AND(AD15&gt;6,AG15&gt;6)),AI15&gt;6,OR(AJ15&gt;=AI15,AJ15&gt;6))),1,0))</f>
        <v>0</v>
      </c>
      <c r="V15" s="288">
        <f t="shared" ref="V15:V16" si="54">IF($C15="","",IF(OR(AND(AD15&gt;6,AH15&gt;6),AD15+AG15&gt;12),1,0))</f>
        <v>0</v>
      </c>
      <c r="W15" s="288">
        <f t="shared" ref="W15:W16" si="55">IF($C15="","",IF(AND(AD15&gt;6,AF15&gt;6,AG15&gt;6),1,0))</f>
        <v>0</v>
      </c>
      <c r="X15" s="288">
        <f t="shared" ref="X15:X16" si="56">IF($C15="","",IF(AND(AF15&gt;7,OR(AD15&gt;6,AG15&gt;6)),1,0))</f>
        <v>0</v>
      </c>
      <c r="Y15" s="288">
        <f t="shared" ref="Y15:Y16" si="57">IF($C15="","",IF(AND(AF15&gt;6,OR(AD15&gt;6,AG15&gt;6)),1,0))</f>
        <v>0</v>
      </c>
      <c r="Z15" s="288">
        <f t="shared" ref="Z15:Z16" si="58">IF($C15="","",IF(AND(OR(AD15&gt;6,AF15&gt;6),OR(AD15&gt;6,AG15&gt;6)),1,0))</f>
        <v>0</v>
      </c>
      <c r="AA15" s="288">
        <f t="shared" ref="AA15:AA16" si="59">IF($C15="","",IF(AND(AD15&gt;4,OR(AD15&gt;6,AF15&gt;6,AG15&gt;6)),1,0))</f>
        <v>0</v>
      </c>
      <c r="AB15" s="288">
        <f t="shared" ref="AB15:AB16" si="60">IF($C15="","",IF(AND(AD15&gt;4,OR(AD15&gt;6,AE15&gt;6,AF15&gt;6,AG15&gt;6)),1,0))</f>
        <v>0</v>
      </c>
      <c r="AC15" s="289">
        <f t="shared" ref="AC15:AC16" si="61">IF($C15="","",IF(AND(AD15&gt;4,MAX(AD15:AH15)&gt;6),1,0))</f>
        <v>0</v>
      </c>
      <c r="AD15" s="37">
        <f>IF($C15="","",VLOOKUP($C15,CTBat!$G$10:$BR$208,AD$4,FALSE))</f>
        <v>1</v>
      </c>
      <c r="AE15" s="37">
        <f>IF($C15="","",VLOOKUP($C15,CTBat!$G$10:$BR$208,AE$4,FALSE))</f>
        <v>3</v>
      </c>
      <c r="AF15" s="37">
        <f>IF($C15="","",VLOOKUP($C15,CTBat!$G$10:$BR$208,AF$4,FALSE))</f>
        <v>2</v>
      </c>
      <c r="AG15" s="37">
        <f>IF($C15="","",VLOOKUP($C15,CTBat!$G$10:$BR$208,AG$4,FALSE))</f>
        <v>1</v>
      </c>
      <c r="AH15" s="37">
        <f>IF($C15="","",VLOOKUP($C15,CTBat!$G$10:$BR$208,AH$4,FALSE))</f>
        <v>1</v>
      </c>
      <c r="AI15" s="58">
        <f>IF($C15="","",VLOOKUP($C15,CTBat!$G$10:$BR$208,AI$4,FALSE))</f>
        <v>3</v>
      </c>
      <c r="AJ15" s="38">
        <f>IF($C15="","",VLOOKUP($C15,CTBat!$G$10:$BR$208,AJ$4,FALSE))</f>
        <v>1</v>
      </c>
      <c r="AK15" s="67">
        <f t="shared" ref="AK15:AK16" si="62">IF($C15="","",(5*AD15+4*AF15+3*AG15+2*AE15+1*AH15+0.5*(AVERAGE(AD15:AE15))+0.5*AVERAGE(AD15,AH15)+1*(AVERAGE(AD15,AF15))+1*AVERAGE(AD15,AG15))/(5+4+3+2+1+0.5+0.5+1+1))</f>
        <v>1.5</v>
      </c>
      <c r="AL15" s="53">
        <f t="shared" ref="AL15:AL16" si="63">IF($C15="","",IF(AND(OR(AU15+AX15&gt;12,AND(AU15&gt;6,AX15&gt;6)),AI15&gt;6,OR(AJ15&gt;=AI15,AJ15&gt;6)),1,0))</f>
        <v>0</v>
      </c>
      <c r="AM15" s="288">
        <f t="shared" ref="AM15:AM16" si="64">IF($C15="","",IF(OR(AND(AU15&gt;6,AY15&gt;6),AU15+AX15&gt;12),1,0))</f>
        <v>0</v>
      </c>
      <c r="AN15" s="288">
        <f t="shared" ref="AN15:AN16" si="65">IF($C15="","",IF(AND(AU15&gt;6,AW15&gt;6,AX15&gt;6),1,0))</f>
        <v>0</v>
      </c>
      <c r="AO15" s="288">
        <f t="shared" ref="AO15:AO16" si="66">IF($C15="","",IF(AND(AW15&gt;7,OR(AU15&gt;6,AX15&gt;6)),1,0))</f>
        <v>0</v>
      </c>
      <c r="AP15" s="288">
        <f t="shared" ref="AP15:AP16" si="67">IF($C15="","",IF(AND(AW15&gt;6,OR(AU15&gt;6,AX15&gt;6)),1,0))</f>
        <v>0</v>
      </c>
      <c r="AQ15" s="288">
        <f t="shared" ref="AQ15:AQ16" si="68">IF($C15="","",IF(AND(OR(AU15&gt;6,AW15&gt;6),OR(AU15&gt;6,AX15&gt;6)),1,0))</f>
        <v>0</v>
      </c>
      <c r="AR15" s="288">
        <f t="shared" ref="AR15:AR16" si="69">IF($C15="","",IF(AND(AU15&gt;4,OR(AU15&gt;6,AW15&gt;6,AX15&gt;6)),1,0))</f>
        <v>0</v>
      </c>
      <c r="AS15" s="288">
        <f t="shared" ref="AS15:AS16" si="70">IF($C15="","",IF(AND(AU15&gt;4,OR(AU15&gt;6,AV15&gt;6,AW15&gt;6,AX15&gt;6)),1,0))</f>
        <v>0</v>
      </c>
      <c r="AT15" s="289">
        <f t="shared" ref="AT15:AT16" si="71">IF($C15="","",IF(AND(AU15&gt;4,MAX(AU15:AY15)&gt;6),1,0))</f>
        <v>0</v>
      </c>
      <c r="AU15" s="58">
        <f>IF($C15="","",VLOOKUP($C15,CTBat!$G$10:$BR$208,AU$4,FALSE))</f>
        <v>4</v>
      </c>
      <c r="AV15" s="37">
        <f>IF($C15="","",VLOOKUP($C15,CTBat!$G$10:$BR$208,AV$4,FALSE))</f>
        <v>7</v>
      </c>
      <c r="AW15" s="37">
        <f>IF($C15="","",VLOOKUP($C15,CTBat!$G$10:$BR$208,AW$4,FALSE))</f>
        <v>7</v>
      </c>
      <c r="AX15" s="37">
        <f>IF($C15="","",VLOOKUP($C15,CTBat!$G$10:$BR$208,AX$4,FALSE))</f>
        <v>4</v>
      </c>
      <c r="AY15" s="38">
        <f>IF($C15="","",VLOOKUP($C15,CTBat!$G$10:$BR$208,AY$4,FALSE))</f>
        <v>3</v>
      </c>
      <c r="AZ15" s="67">
        <f t="shared" ref="AZ15:AZ16" si="72">IF($C15="","",(5*AU15+4*AW15+3*AX15+2*AV15+1*AY15+0.5*(AVERAGE(AU15:AV15))+0.5*AVERAGE(AU15,AY15)+1*(AVERAGE(AU15,AW15))+1*AVERAGE(AU15,AX15))/(5+4+3+2+1+0.5+0.5+1+1))</f>
        <v>5.0555555555555554</v>
      </c>
    </row>
    <row r="16" spans="1:52">
      <c r="A16">
        <v>9</v>
      </c>
      <c r="B16" s="36" t="s">
        <v>104</v>
      </c>
      <c r="C16" s="65" t="s">
        <v>551</v>
      </c>
      <c r="D16" s="37">
        <f>IF($C16="","",VLOOKUP($C16,CTBat!$G$10:$BR$208,D$4,FALSE))</f>
        <v>19</v>
      </c>
      <c r="E16" s="37" t="str">
        <f>IF($C16="","",VLOOKUP($C16,CTBat!$G$10:$BR$208,E$4,FALSE))</f>
        <v>R</v>
      </c>
      <c r="F16" s="53">
        <f t="shared" si="49"/>
        <v>0</v>
      </c>
      <c r="G16" s="288">
        <f t="shared" si="50"/>
        <v>0</v>
      </c>
      <c r="H16" s="288">
        <f t="shared" si="51"/>
        <v>0</v>
      </c>
      <c r="I16" s="288">
        <f t="shared" si="52"/>
        <v>0</v>
      </c>
      <c r="J16" s="58">
        <f>IF($C16="","",VLOOKUP($C16,CTBat!$G$10:$BR$208,J$4,FALSE))</f>
        <v>2</v>
      </c>
      <c r="K16" s="37">
        <f>IF($C16="","",VLOOKUP($C16,CTBat!$G$10:$BR$208,K$4,FALSE))</f>
        <v>6</v>
      </c>
      <c r="L16" s="38">
        <f>IF($C16="","",VLOOKUP($C16,CTBat!$G$10:$BR$208,L$4,FALSE))</f>
        <v>2</v>
      </c>
      <c r="M16" s="37" t="str">
        <f>IF($C16="","",VLOOKUP($C16,CTBat!$G$10:$BR$208,M$4,FALSE))</f>
        <v>-</v>
      </c>
      <c r="N16" s="37">
        <f>IF($C16="","",VLOOKUP($C16,CTBat!$G$10:$BR$208,N$4,FALSE))</f>
        <v>4</v>
      </c>
      <c r="O16" s="37" t="str">
        <f>IF($C16="","",VLOOKUP($C16,CTBat!$G$10:$BR$208,O$4,FALSE))</f>
        <v>-</v>
      </c>
      <c r="P16" s="37">
        <f>IF($C16="","",VLOOKUP($C16,CTBat!$G$10:$BR$208,P$4,FALSE))</f>
        <v>2</v>
      </c>
      <c r="Q16" s="37" t="str">
        <f>IF($C16="","",VLOOKUP($C16,CTBat!$G$10:$BR$208,Q$4,FALSE))</f>
        <v>-</v>
      </c>
      <c r="R16" s="37" t="str">
        <f>IF($C16="","",VLOOKUP($C16,CTBat!$G$10:$BR$208,R$4,FALSE))</f>
        <v>-</v>
      </c>
      <c r="S16" s="37" t="str">
        <f>IF($C16="","",VLOOKUP($C16,CTBat!$G$10:$BR$208,S$4,FALSE))</f>
        <v>-</v>
      </c>
      <c r="T16" s="38" t="str">
        <f>IF($C16="","",VLOOKUP($C16,CTBat!$G$10:$BR$208,T$4,FALSE))</f>
        <v>-</v>
      </c>
      <c r="U16" s="53">
        <f t="shared" si="53"/>
        <v>0</v>
      </c>
      <c r="V16" s="288">
        <f t="shared" si="54"/>
        <v>0</v>
      </c>
      <c r="W16" s="288">
        <f t="shared" si="55"/>
        <v>0</v>
      </c>
      <c r="X16" s="288">
        <f t="shared" si="56"/>
        <v>0</v>
      </c>
      <c r="Y16" s="288">
        <f t="shared" si="57"/>
        <v>0</v>
      </c>
      <c r="Z16" s="288">
        <f t="shared" si="58"/>
        <v>0</v>
      </c>
      <c r="AA16" s="288">
        <f t="shared" si="59"/>
        <v>0</v>
      </c>
      <c r="AB16" s="288">
        <f t="shared" si="60"/>
        <v>0</v>
      </c>
      <c r="AC16" s="289">
        <f t="shared" si="61"/>
        <v>0</v>
      </c>
      <c r="AD16" s="37">
        <f>IF($C16="","",VLOOKUP($C16,CTBat!$G$10:$BR$208,AD$4,FALSE))</f>
        <v>1</v>
      </c>
      <c r="AE16" s="37">
        <f>IF($C16="","",VLOOKUP($C16,CTBat!$G$10:$BR$208,AE$4,FALSE))</f>
        <v>2</v>
      </c>
      <c r="AF16" s="37">
        <f>IF($C16="","",VLOOKUP($C16,CTBat!$G$10:$BR$208,AF$4,FALSE))</f>
        <v>1</v>
      </c>
      <c r="AG16" s="37">
        <f>IF($C16="","",VLOOKUP($C16,CTBat!$G$10:$BR$208,AG$4,FALSE))</f>
        <v>1</v>
      </c>
      <c r="AH16" s="37">
        <f>IF($C16="","",VLOOKUP($C16,CTBat!$G$10:$BR$208,AH$4,FALSE))</f>
        <v>1</v>
      </c>
      <c r="AI16" s="58">
        <f>IF($C16="","",VLOOKUP($C16,CTBat!$G$10:$BR$208,AI$4,FALSE))</f>
        <v>3</v>
      </c>
      <c r="AJ16" s="38">
        <f>IF($C16="","",VLOOKUP($C16,CTBat!$G$10:$BR$208,AJ$4,FALSE))</f>
        <v>4</v>
      </c>
      <c r="AK16" s="67">
        <f t="shared" si="62"/>
        <v>1.125</v>
      </c>
      <c r="AL16" s="53">
        <f t="shared" si="63"/>
        <v>0</v>
      </c>
      <c r="AM16" s="288">
        <f t="shared" si="64"/>
        <v>0</v>
      </c>
      <c r="AN16" s="288">
        <f t="shared" si="65"/>
        <v>0</v>
      </c>
      <c r="AO16" s="288">
        <f t="shared" si="66"/>
        <v>0</v>
      </c>
      <c r="AP16" s="288">
        <f t="shared" si="67"/>
        <v>0</v>
      </c>
      <c r="AQ16" s="288">
        <f t="shared" si="68"/>
        <v>0</v>
      </c>
      <c r="AR16" s="288">
        <f t="shared" si="69"/>
        <v>0</v>
      </c>
      <c r="AS16" s="288">
        <f t="shared" si="70"/>
        <v>0</v>
      </c>
      <c r="AT16" s="289">
        <f t="shared" si="71"/>
        <v>0</v>
      </c>
      <c r="AU16" s="58">
        <f>IF($C16="","",VLOOKUP($C16,CTBat!$G$10:$BR$208,AU$4,FALSE))</f>
        <v>4</v>
      </c>
      <c r="AV16" s="37">
        <f>IF($C16="","",VLOOKUP($C16,CTBat!$G$10:$BR$208,AV$4,FALSE))</f>
        <v>6</v>
      </c>
      <c r="AW16" s="37">
        <f>IF($C16="","",VLOOKUP($C16,CTBat!$G$10:$BR$208,AW$4,FALSE))</f>
        <v>3</v>
      </c>
      <c r="AX16" s="37">
        <f>IF($C16="","",VLOOKUP($C16,CTBat!$G$10:$BR$208,AX$4,FALSE))</f>
        <v>6</v>
      </c>
      <c r="AY16" s="38">
        <f>IF($C16="","",VLOOKUP($C16,CTBat!$G$10:$BR$208,AY$4,FALSE))</f>
        <v>4</v>
      </c>
      <c r="AZ16" s="67">
        <f t="shared" si="72"/>
        <v>4.3888888888888893</v>
      </c>
    </row>
    <row r="17" spans="1:52">
      <c r="A17">
        <v>10</v>
      </c>
      <c r="B17" s="39" t="s">
        <v>104</v>
      </c>
      <c r="C17" s="40"/>
      <c r="D17" s="40" t="str">
        <f>IF($C17="","",VLOOKUP($C17,CTBat!$G$10:$BR$208,D$4,FALSE))</f>
        <v/>
      </c>
      <c r="E17" s="40" t="str">
        <f>IF($C17="","",VLOOKUP($C17,CTBat!$G$10:$BR$208,E$4,FALSE))</f>
        <v/>
      </c>
      <c r="F17" s="54" t="str">
        <f t="shared" si="3"/>
        <v/>
      </c>
      <c r="G17" s="239" t="str">
        <f t="shared" si="4"/>
        <v/>
      </c>
      <c r="H17" s="239" t="str">
        <f t="shared" si="5"/>
        <v/>
      </c>
      <c r="I17" s="239" t="str">
        <f t="shared" si="24"/>
        <v/>
      </c>
      <c r="J17" s="59" t="str">
        <f>IF($C17="","",VLOOKUP($C17,CTBat!$G$10:$BR$208,J$4,FALSE))</f>
        <v/>
      </c>
      <c r="K17" s="40" t="str">
        <f>IF($C17="","",VLOOKUP($C17,CTBat!$G$10:$BR$208,K$4,FALSE))</f>
        <v/>
      </c>
      <c r="L17" s="42" t="str">
        <f>IF($C17="","",VLOOKUP($C17,CTBat!$G$10:$BR$208,L$4,FALSE))</f>
        <v/>
      </c>
      <c r="M17" s="40" t="str">
        <f>IF($C17="","",VLOOKUP($C17,CTBat!$G$10:$BR$208,M$4,FALSE))</f>
        <v/>
      </c>
      <c r="N17" s="40" t="str">
        <f>IF($C17="","",VLOOKUP($C17,CTBat!$G$10:$BR$208,N$4,FALSE))</f>
        <v/>
      </c>
      <c r="O17" s="40" t="str">
        <f>IF($C17="","",VLOOKUP($C17,CTBat!$G$10:$BR$208,O$4,FALSE))</f>
        <v/>
      </c>
      <c r="P17" s="40" t="str">
        <f>IF($C17="","",VLOOKUP($C17,CTBat!$G$10:$BR$208,P$4,FALSE))</f>
        <v/>
      </c>
      <c r="Q17" s="40" t="str">
        <f>IF($C17="","",VLOOKUP($C17,CTBat!$G$10:$BR$208,Q$4,FALSE))</f>
        <v/>
      </c>
      <c r="R17" s="40" t="str">
        <f>IF($C17="","",VLOOKUP($C17,CTBat!$G$10:$BR$208,R$4,FALSE))</f>
        <v/>
      </c>
      <c r="S17" s="40" t="str">
        <f>IF($C17="","",VLOOKUP($C17,CTBat!$G$10:$BR$208,S$4,FALSE))</f>
        <v/>
      </c>
      <c r="T17" s="42" t="str">
        <f>IF($C17="","",VLOOKUP($C17,CTBat!$G$10:$BR$208,T$4,FALSE))</f>
        <v/>
      </c>
      <c r="U17" s="54" t="str">
        <f t="shared" si="1"/>
        <v/>
      </c>
      <c r="V17" s="239" t="str">
        <f t="shared" si="2"/>
        <v/>
      </c>
      <c r="W17" s="239" t="str">
        <f t="shared" si="6"/>
        <v/>
      </c>
      <c r="X17" s="239" t="str">
        <f t="shared" si="7"/>
        <v/>
      </c>
      <c r="Y17" s="239" t="str">
        <f t="shared" si="8"/>
        <v/>
      </c>
      <c r="Z17" s="239" t="str">
        <f t="shared" si="9"/>
        <v/>
      </c>
      <c r="AA17" s="239" t="str">
        <f t="shared" si="10"/>
        <v/>
      </c>
      <c r="AB17" s="239" t="str">
        <f t="shared" si="11"/>
        <v/>
      </c>
      <c r="AC17" s="240" t="str">
        <f t="shared" si="12"/>
        <v/>
      </c>
      <c r="AD17" s="40" t="str">
        <f>IF($C17="","",VLOOKUP($C17,CTBat!$G$10:$BR$208,AD$4,FALSE))</f>
        <v/>
      </c>
      <c r="AE17" s="40" t="str">
        <f>IF($C17="","",VLOOKUP($C17,CTBat!$G$10:$BR$208,AE$4,FALSE))</f>
        <v/>
      </c>
      <c r="AF17" s="40" t="str">
        <f>IF($C17="","",VLOOKUP($C17,CTBat!$G$10:$BR$208,AF$4,FALSE))</f>
        <v/>
      </c>
      <c r="AG17" s="40" t="str">
        <f>IF($C17="","",VLOOKUP($C17,CTBat!$G$10:$BR$208,AG$4,FALSE))</f>
        <v/>
      </c>
      <c r="AH17" s="40" t="str">
        <f>IF($C17="","",VLOOKUP($C17,CTBat!$G$10:$BR$208,AH$4,FALSE))</f>
        <v/>
      </c>
      <c r="AI17" s="59" t="str">
        <f>IF($C17="","",VLOOKUP($C17,CTBat!$G$10:$BR$208,AI$4,FALSE))</f>
        <v/>
      </c>
      <c r="AJ17" s="42" t="str">
        <f>IF($C17="","",VLOOKUP($C17,CTBat!$G$10:$BR$208,AJ$4,FALSE))</f>
        <v/>
      </c>
      <c r="AK17" s="68" t="str">
        <f t="shared" si="13"/>
        <v/>
      </c>
      <c r="AL17" s="54" t="str">
        <f t="shared" si="14"/>
        <v/>
      </c>
      <c r="AM17" s="239" t="str">
        <f t="shared" si="15"/>
        <v/>
      </c>
      <c r="AN17" s="239" t="str">
        <f t="shared" si="16"/>
        <v/>
      </c>
      <c r="AO17" s="239" t="str">
        <f t="shared" si="17"/>
        <v/>
      </c>
      <c r="AP17" s="239" t="str">
        <f t="shared" si="18"/>
        <v/>
      </c>
      <c r="AQ17" s="239" t="str">
        <f t="shared" si="19"/>
        <v/>
      </c>
      <c r="AR17" s="239" t="str">
        <f t="shared" si="20"/>
        <v/>
      </c>
      <c r="AS17" s="239" t="str">
        <f t="shared" si="21"/>
        <v/>
      </c>
      <c r="AT17" s="240" t="str">
        <f t="shared" si="22"/>
        <v/>
      </c>
      <c r="AU17" s="59" t="str">
        <f>IF($C17="","",VLOOKUP($C17,CTBat!$G$10:$BR$208,AU$4,FALSE))</f>
        <v/>
      </c>
      <c r="AV17" s="40" t="str">
        <f>IF($C17="","",VLOOKUP($C17,CTBat!$G$10:$BR$208,AV$4,FALSE))</f>
        <v/>
      </c>
      <c r="AW17" s="40" t="str">
        <f>IF($C17="","",VLOOKUP($C17,CTBat!$G$10:$BR$208,AW$4,FALSE))</f>
        <v/>
      </c>
      <c r="AX17" s="40" t="str">
        <f>IF($C17="","",VLOOKUP($C17,CTBat!$G$10:$BR$208,AX$4,FALSE))</f>
        <v/>
      </c>
      <c r="AY17" s="42" t="str">
        <f>IF($C17="","",VLOOKUP($C17,CTBat!$G$10:$BR$208,AY$4,FALSE))</f>
        <v/>
      </c>
      <c r="AZ17" s="68" t="str">
        <f t="shared" si="23"/>
        <v/>
      </c>
    </row>
    <row r="19" spans="1:52" s="24" customFormat="1" ht="196.5">
      <c r="A19" s="25" t="s">
        <v>196</v>
      </c>
      <c r="B19" s="236" t="s">
        <v>128</v>
      </c>
      <c r="C19" s="44" t="str">
        <f>"Player ("&amp;COUNTA(C20:C27)&amp;")"</f>
        <v>Player (6)</v>
      </c>
      <c r="D19" s="44" t="s">
        <v>94</v>
      </c>
      <c r="E19" s="44" t="s">
        <v>104</v>
      </c>
      <c r="F19" s="51" t="str">
        <f>"Only 1 guy who only plays 2B ("&amp;SUM(F20:F27)&amp;")"</f>
        <v>Only 1 guy who only plays 2B (1)</v>
      </c>
      <c r="G19" s="46" t="str">
        <f>"2 Guys Who Play SS ("&amp;SUM(G20:G27)&amp;")"</f>
        <v>2 Guys Who Play SS (4)</v>
      </c>
      <c r="H19" s="46" t="str">
        <f>"2 guys with 3B arm ("&amp;SUM(H20:H27)&amp;")"</f>
        <v>2 guys with 3B arm (2)</v>
      </c>
      <c r="I19" s="49" t="s">
        <v>41</v>
      </c>
      <c r="J19" s="47" t="s">
        <v>139</v>
      </c>
      <c r="K19" s="47" t="s">
        <v>137</v>
      </c>
      <c r="L19" s="47" t="s">
        <v>138</v>
      </c>
      <c r="M19" s="63" t="s">
        <v>95</v>
      </c>
      <c r="N19" s="48" t="s">
        <v>97</v>
      </c>
      <c r="O19" s="48" t="s">
        <v>98</v>
      </c>
      <c r="P19" s="48" t="s">
        <v>99</v>
      </c>
      <c r="Q19" s="48" t="s">
        <v>100</v>
      </c>
      <c r="R19" s="48" t="s">
        <v>101</v>
      </c>
      <c r="S19" s="48" t="s">
        <v>102</v>
      </c>
      <c r="T19" s="49" t="s">
        <v>103</v>
      </c>
      <c r="U19" s="45" t="s">
        <v>140</v>
      </c>
      <c r="V19" s="45" t="s">
        <v>184</v>
      </c>
      <c r="W19" s="45" t="s">
        <v>141</v>
      </c>
      <c r="X19" s="45" t="s">
        <v>142</v>
      </c>
      <c r="Y19" s="45" t="s">
        <v>143</v>
      </c>
      <c r="Z19" s="45" t="s">
        <v>144</v>
      </c>
      <c r="AA19" s="45" t="s">
        <v>145</v>
      </c>
      <c r="AB19" s="45" t="s">
        <v>147</v>
      </c>
      <c r="AC19" s="45" t="s">
        <v>146</v>
      </c>
      <c r="AD19" s="63" t="s">
        <v>150</v>
      </c>
      <c r="AE19" s="48" t="s">
        <v>151</v>
      </c>
      <c r="AF19" s="48" t="s">
        <v>152</v>
      </c>
      <c r="AG19" s="48" t="s">
        <v>153</v>
      </c>
      <c r="AH19" s="48" t="s">
        <v>29</v>
      </c>
      <c r="AI19" s="48" t="s">
        <v>154</v>
      </c>
      <c r="AJ19" s="49" t="s">
        <v>155</v>
      </c>
      <c r="AK19" s="66" t="s">
        <v>160</v>
      </c>
      <c r="AL19" s="45" t="s">
        <v>140</v>
      </c>
      <c r="AM19" s="45" t="s">
        <v>184</v>
      </c>
      <c r="AN19" s="45" t="s">
        <v>141</v>
      </c>
      <c r="AO19" s="45" t="s">
        <v>142</v>
      </c>
      <c r="AP19" s="45" t="s">
        <v>143</v>
      </c>
      <c r="AQ19" s="45" t="s">
        <v>144</v>
      </c>
      <c r="AR19" s="45" t="s">
        <v>145</v>
      </c>
      <c r="AS19" s="45" t="s">
        <v>147</v>
      </c>
      <c r="AT19" s="45" t="s">
        <v>146</v>
      </c>
      <c r="AU19" s="63" t="s">
        <v>150</v>
      </c>
      <c r="AV19" s="48" t="s">
        <v>151</v>
      </c>
      <c r="AW19" s="48" t="s">
        <v>152</v>
      </c>
      <c r="AX19" s="48" t="s">
        <v>153</v>
      </c>
      <c r="AY19" s="49" t="s">
        <v>29</v>
      </c>
      <c r="AZ19" s="66" t="s">
        <v>201</v>
      </c>
    </row>
    <row r="20" spans="1:52">
      <c r="A20">
        <v>1</v>
      </c>
      <c r="B20" s="36" t="s">
        <v>98</v>
      </c>
      <c r="C20" s="37" t="s">
        <v>505</v>
      </c>
      <c r="D20" s="37">
        <f>IF($C20="","",VLOOKUP($C20,CTBat!$G$10:$BR$208,D$4,FALSE))</f>
        <v>22</v>
      </c>
      <c r="E20" s="33" t="str">
        <f>IF($C20="","",VLOOKUP($C20,CTBat!$G$10:$BR$208,E$4,FALSE))</f>
        <v>R</v>
      </c>
      <c r="F20" s="53">
        <f>IF($C20="","",IF(AND(O20&gt;0,O20=SUM(M20:T20)),1,0))</f>
        <v>1</v>
      </c>
      <c r="G20" s="241">
        <f t="shared" ref="G20:G26" si="73">IF($C20="","",IF(Q20&lt;&gt;"-",1,0))</f>
        <v>0</v>
      </c>
      <c r="H20" s="241">
        <f>IF($C20="","",IF(AND(K20&gt;5,P20&lt;&gt;"-"),1,0))</f>
        <v>0</v>
      </c>
      <c r="I20" s="242" t="str">
        <f>IF($C20="","","-")</f>
        <v>-</v>
      </c>
      <c r="J20" s="37">
        <f>IF($C20="","",VLOOKUP($C20,CTBat!$G$10:$BR$208,J$4,FALSE))</f>
        <v>1</v>
      </c>
      <c r="K20" s="37">
        <f>IF($C20="","",VLOOKUP($C20,CTBat!$G$10:$BR$208,K$4,FALSE))</f>
        <v>3</v>
      </c>
      <c r="L20" s="37">
        <f>IF($C20="","",VLOOKUP($C20,CTBat!$G$10:$BR$208,L$4,FALSE))</f>
        <v>1</v>
      </c>
      <c r="M20" s="58" t="str">
        <f>IF($C20="","",VLOOKUP($C20,CTBat!$G$10:$BR$208,M$4,FALSE))</f>
        <v>-</v>
      </c>
      <c r="N20" s="37" t="str">
        <f>IF($C20="","",VLOOKUP($C20,CTBat!$G$10:$BR$208,N$4,FALSE))</f>
        <v>-</v>
      </c>
      <c r="O20" s="37">
        <f>IF($C20="","",VLOOKUP($C20,CTBat!$G$10:$BR$208,O$4,FALSE))</f>
        <v>4</v>
      </c>
      <c r="P20" s="37" t="str">
        <f>IF($C20="","",VLOOKUP($C20,CTBat!$G$10:$BR$208,P$4,FALSE))</f>
        <v>-</v>
      </c>
      <c r="Q20" s="37" t="str">
        <f>IF($C20="","",VLOOKUP($C20,CTBat!$G$10:$BR$208,Q$4,FALSE))</f>
        <v>-</v>
      </c>
      <c r="R20" s="37" t="str">
        <f>IF($C20="","",VLOOKUP($C20,CTBat!$G$10:$BR$208,R$4,FALSE))</f>
        <v>-</v>
      </c>
      <c r="S20" s="37" t="str">
        <f>IF($C20="","",VLOOKUP($C20,CTBat!$G$10:$BR$208,S$4,FALSE))</f>
        <v>-</v>
      </c>
      <c r="T20" s="38" t="str">
        <f>IF($C20="","",VLOOKUP($C20,CTBat!$G$10:$BR$208,T$4,FALSE))</f>
        <v>-</v>
      </c>
      <c r="U20" s="241">
        <f t="shared" ref="U20:U21" si="74">IF($C20="","",IF(OR(AD20+AG20&gt;14,AND(OR(AD20+AG20&gt;12,AND(AD20&gt;6,AG20&gt;6)),AI20&gt;6,OR(AJ20&gt;=AI20,AJ20&gt;6))),1,0))</f>
        <v>0</v>
      </c>
      <c r="V20" s="241">
        <f t="shared" ref="V20:V27" si="75">IF($C20="","",IF(OR(AND(AD20&gt;6,AH20&gt;6),AD20+AG20&gt;12),1,0))</f>
        <v>0</v>
      </c>
      <c r="W20" s="241">
        <f>IF($C20="","",IF(AND(AD20&gt;6,AF20&gt;6,AG20&gt;6),1,0))</f>
        <v>0</v>
      </c>
      <c r="X20" s="241">
        <f t="shared" ref="X20:X27" si="76">IF($C20="","",IF(AND(AF20&gt;7,OR(AD20&gt;6,AG20&gt;6)),1,0))</f>
        <v>0</v>
      </c>
      <c r="Y20" s="241">
        <f t="shared" ref="Y20:Y27" si="77">IF($C20="","",IF(AND(AF20&gt;6,OR(AD20&gt;6,AG20&gt;6)),1,0))</f>
        <v>0</v>
      </c>
      <c r="Z20" s="241">
        <f t="shared" ref="Z20:Z27" si="78">IF($C20="","",IF(AND(OR(AD20&gt;6,AF20&gt;6),OR(AD20&gt;6,AG20&gt;6)),1,0))</f>
        <v>0</v>
      </c>
      <c r="AA20" s="241">
        <f t="shared" ref="AA20:AA27" si="79">IF($C20="","",IF(AND(AD20&gt;4,OR(AD20&gt;6,AF20&gt;6,AG20&gt;6)),1,0))</f>
        <v>0</v>
      </c>
      <c r="AB20" s="241">
        <f t="shared" ref="AB20:AB27" si="80">IF($C20="","",IF(AND(AD20&gt;4,OR(AD20&gt;6,AE20&gt;6,AF20&gt;6,AG20&gt;6)),1,0))</f>
        <v>0</v>
      </c>
      <c r="AC20" s="241">
        <f t="shared" ref="AC20:AC27" si="81">IF($C20="","",IF(AND(AD20&gt;4,MAX(AD20:AH20)&gt;6),1,0))</f>
        <v>0</v>
      </c>
      <c r="AD20" s="58">
        <f>IF($C20="","",VLOOKUP($C20,CTBat!$G$10:$BR$208,AD$4,FALSE))</f>
        <v>4</v>
      </c>
      <c r="AE20" s="37">
        <f>IF($C20="","",VLOOKUP($C20,CTBat!$G$10:$BR$208,AE$4,FALSE))</f>
        <v>6</v>
      </c>
      <c r="AF20" s="37">
        <f>IF($C20="","",VLOOKUP($C20,CTBat!$G$10:$BR$208,AF$4,FALSE))</f>
        <v>2</v>
      </c>
      <c r="AG20" s="37">
        <f>IF($C20="","",VLOOKUP($C20,CTBat!$G$10:$BR$208,AG$4,FALSE))</f>
        <v>3</v>
      </c>
      <c r="AH20" s="37">
        <f>IF($C20="","",VLOOKUP($C20,CTBat!$G$10:$BR$208,AH$4,FALSE))</f>
        <v>2</v>
      </c>
      <c r="AI20" s="37">
        <f>IF($C20="","",VLOOKUP($C20,CTBat!$G$10:$BR$208,AI$4,FALSE))</f>
        <v>8</v>
      </c>
      <c r="AJ20" s="38">
        <f>IF($C20="","",VLOOKUP($C20,CTBat!$G$10:$BR$208,AJ$4,FALSE))</f>
        <v>9</v>
      </c>
      <c r="AK20" s="67">
        <f>IF($C20="","",(5*AD20+4*AF20+3*AG20+2*AE20+1*AH20+0.5*(AVERAGE(AD20:AE20))+0.5*AVERAGE(AD20,AH20)+1*(AVERAGE(AD20,AF20))+1*AVERAGE(AD20,AG20))/(5+4+3+2+1+0.5+0.5+1+1))</f>
        <v>3.4166666666666665</v>
      </c>
      <c r="AL20" s="241">
        <f t="shared" ref="AL20:AL27" si="82">IF($C20="","",IF(AND(OR(AU20+AX20&gt;12,AND(AU20&gt;6,AX20&gt;6)),AI20&gt;6,OR(AJ20&gt;=AI20,AJ20&gt;6)),1,0))</f>
        <v>0</v>
      </c>
      <c r="AM20" s="241">
        <f t="shared" ref="AM20:AM27" si="83">IF($C20="","",IF(OR(AND(AU20&gt;6,AY20&gt;6),AU20+AX20&gt;12),1,0))</f>
        <v>0</v>
      </c>
      <c r="AN20" s="241">
        <f t="shared" ref="AN20:AN27" si="84">IF($C20="","",IF(AND(AU20&gt;6,AW20&gt;6,AX20&gt;6),1,0))</f>
        <v>0</v>
      </c>
      <c r="AO20" s="241">
        <f t="shared" ref="AO20:AO27" si="85">IF($C20="","",IF(AND(AW20&gt;7,OR(AU20&gt;6,AX20&gt;6)),1,0))</f>
        <v>0</v>
      </c>
      <c r="AP20" s="241">
        <f t="shared" ref="AP20:AP27" si="86">IF($C20="","",IF(AND(AW20&gt;6,OR(AU20&gt;6,AX20&gt;6)),1,0))</f>
        <v>0</v>
      </c>
      <c r="AQ20" s="241">
        <f t="shared" ref="AQ20:AQ27" si="87">IF($C20="","",IF(AND(OR(AU20&gt;6,AW20&gt;6),OR(AU20&gt;6,AX20&gt;6)),1,0))</f>
        <v>0</v>
      </c>
      <c r="AR20" s="241">
        <f t="shared" ref="AR20:AR27" si="88">IF($C20="","",IF(AND(AU20&gt;4,OR(AU20&gt;6,AW20&gt;6,AX20&gt;6)),1,0))</f>
        <v>0</v>
      </c>
      <c r="AS20" s="241">
        <f t="shared" ref="AS20:AS27" si="89">IF($C20="","",IF(AND(AU20&gt;4,OR(AU20&gt;6,AV20&gt;6,AW20&gt;6,AX20&gt;6)),1,0))</f>
        <v>0</v>
      </c>
      <c r="AT20" s="241">
        <f t="shared" ref="AT20:AT27" si="90">IF($C20="","",IF(AND(AU20&gt;4,MAX(AU20:AY20)&gt;6),1,0))</f>
        <v>0</v>
      </c>
      <c r="AU20" s="58">
        <f>IF($C20="","",VLOOKUP($C20,CTBat!$G$10:$BR$208,AU$4,FALSE))</f>
        <v>5</v>
      </c>
      <c r="AV20" s="37">
        <f>IF($C20="","",VLOOKUP($C20,CTBat!$G$10:$BR$208,AV$4,FALSE))</f>
        <v>6</v>
      </c>
      <c r="AW20" s="37">
        <f>IF($C20="","",VLOOKUP($C20,CTBat!$G$10:$BR$208,AW$4,FALSE))</f>
        <v>4</v>
      </c>
      <c r="AX20" s="37">
        <f>IF($C20="","",VLOOKUP($C20,CTBat!$G$10:$BR$208,AX$4,FALSE))</f>
        <v>4</v>
      </c>
      <c r="AY20" s="38">
        <f>IF($C20="","",VLOOKUP($C20,CTBat!$G$10:$BR$208,AY$4,FALSE))</f>
        <v>4</v>
      </c>
      <c r="AZ20" s="67">
        <f t="shared" ref="AZ20:AZ27" si="91">IF($C20="","",(5*AU20+4*AW20+3*AX20+2*AV20+1*AY20+0.5*(AVERAGE(AU20:AV20))+0.5*AVERAGE(AU20,AY20)+1*(AVERAGE(AU20,AW20))+1*AVERAGE(AU20,AX20))/(5+4+3+2+1+0.5+0.5+1+1))</f>
        <v>4.6111111111111107</v>
      </c>
    </row>
    <row r="21" spans="1:52">
      <c r="A21">
        <v>2</v>
      </c>
      <c r="B21" s="36" t="s">
        <v>99</v>
      </c>
      <c r="C21" s="37" t="s">
        <v>438</v>
      </c>
      <c r="D21" s="37">
        <f>IF($C21="","",VLOOKUP($C21,CTBat!$G$10:$BR$208,D$4,FALSE))</f>
        <v>23</v>
      </c>
      <c r="E21" s="37" t="str">
        <f>IF($C21="","",VLOOKUP($C21,CTBat!$G$10:$BR$208,E$4,FALSE))</f>
        <v>R</v>
      </c>
      <c r="F21" s="53">
        <f t="shared" ref="F21:F27" si="92">IF($C21="","",IF(AND(O21&gt;0,O21=SUM(M21:T21)),1,0))</f>
        <v>0</v>
      </c>
      <c r="G21" s="241">
        <f t="shared" si="73"/>
        <v>1</v>
      </c>
      <c r="H21" s="241">
        <f>IF($C21="","",IF(AND(K21&gt;5,P21&lt;&gt;"-"),1,0))</f>
        <v>1</v>
      </c>
      <c r="I21" s="242" t="str">
        <f t="shared" ref="I21:I27" si="93">IF($C21="","","-")</f>
        <v>-</v>
      </c>
      <c r="J21" s="37">
        <f>IF($C21="","",VLOOKUP($C21,CTBat!$G$10:$BR$208,J$4,FALSE))</f>
        <v>1</v>
      </c>
      <c r="K21" s="37">
        <f>IF($C21="","",VLOOKUP($C21,CTBat!$G$10:$BR$208,K$4,FALSE))</f>
        <v>7</v>
      </c>
      <c r="L21" s="37">
        <f>IF($C21="","",VLOOKUP($C21,CTBat!$G$10:$BR$208,L$4,FALSE))</f>
        <v>6</v>
      </c>
      <c r="M21" s="58" t="str">
        <f>IF($C21="","",VLOOKUP($C21,CTBat!$G$10:$BR$208,M$4,FALSE))</f>
        <v>-</v>
      </c>
      <c r="N21" s="37">
        <f>IF($C21="","",VLOOKUP($C21,CTBat!$G$10:$BR$208,N$4,FALSE))</f>
        <v>8</v>
      </c>
      <c r="O21" s="37">
        <f>IF($C21="","",VLOOKUP($C21,CTBat!$G$10:$BR$208,O$4,FALSE))</f>
        <v>9</v>
      </c>
      <c r="P21" s="37">
        <f>IF($C21="","",VLOOKUP($C21,CTBat!$G$10:$BR$208,P$4,FALSE))</f>
        <v>7</v>
      </c>
      <c r="Q21" s="37">
        <f>IF($C21="","",VLOOKUP($C21,CTBat!$G$10:$BR$208,Q$4,FALSE))</f>
        <v>10</v>
      </c>
      <c r="R21" s="37" t="str">
        <f>IF($C21="","",VLOOKUP($C21,CTBat!$G$10:$BR$208,R$4,FALSE))</f>
        <v>-</v>
      </c>
      <c r="S21" s="37" t="str">
        <f>IF($C21="","",VLOOKUP($C21,CTBat!$G$10:$BR$208,S$4,FALSE))</f>
        <v>-</v>
      </c>
      <c r="T21" s="38">
        <f>IF($C21="","",VLOOKUP($C21,CTBat!$G$10:$BR$208,T$4,FALSE))</f>
        <v>7</v>
      </c>
      <c r="U21" s="241">
        <f t="shared" si="74"/>
        <v>0</v>
      </c>
      <c r="V21" s="241">
        <f t="shared" si="75"/>
        <v>0</v>
      </c>
      <c r="W21" s="241">
        <f t="shared" ref="W21:W27" si="94">IF($C21="","",IF(AND(AD21&gt;6,AF21&gt;6,AG21&gt;6),1,0))</f>
        <v>0</v>
      </c>
      <c r="X21" s="241">
        <f t="shared" si="76"/>
        <v>0</v>
      </c>
      <c r="Y21" s="241">
        <f t="shared" si="77"/>
        <v>0</v>
      </c>
      <c r="Z21" s="241">
        <f t="shared" si="78"/>
        <v>0</v>
      </c>
      <c r="AA21" s="241">
        <f t="shared" si="79"/>
        <v>0</v>
      </c>
      <c r="AB21" s="241">
        <f t="shared" si="80"/>
        <v>0</v>
      </c>
      <c r="AC21" s="241">
        <f t="shared" si="81"/>
        <v>0</v>
      </c>
      <c r="AD21" s="58">
        <f>IF($C21="","",VLOOKUP($C21,CTBat!$G$10:$BR$208,AD$4,FALSE))</f>
        <v>3</v>
      </c>
      <c r="AE21" s="37">
        <f>IF($C21="","",VLOOKUP($C21,CTBat!$G$10:$BR$208,AE$4,FALSE))</f>
        <v>5</v>
      </c>
      <c r="AF21" s="37">
        <f>IF($C21="","",VLOOKUP($C21,CTBat!$G$10:$BR$208,AF$4,FALSE))</f>
        <v>2</v>
      </c>
      <c r="AG21" s="37">
        <f>IF($C21="","",VLOOKUP($C21,CTBat!$G$10:$BR$208,AG$4,FALSE))</f>
        <v>3</v>
      </c>
      <c r="AH21" s="37">
        <f>IF($C21="","",VLOOKUP($C21,CTBat!$G$10:$BR$208,AH$4,FALSE))</f>
        <v>2</v>
      </c>
      <c r="AI21" s="37">
        <f>IF($C21="","",VLOOKUP($C21,CTBat!$G$10:$BR$208,AI$4,FALSE))</f>
        <v>6</v>
      </c>
      <c r="AJ21" s="38">
        <f>IF($C21="","",VLOOKUP($C21,CTBat!$G$10:$BR$208,AJ$4,FALSE))</f>
        <v>7</v>
      </c>
      <c r="AK21" s="67">
        <f t="shared" ref="AK21:AK27" si="95">IF($C21="","",(5*AD21+4*AF21+3*AG21+2*AE21+1*AH21+0.5*(AVERAGE(AD21:AE21))+0.5*AVERAGE(AD21,AH21)+1*(AVERAGE(AD21,AF21))+1*AVERAGE(AD21,AG21))/(5+4+3+2+1+0.5+0.5+1+1))</f>
        <v>2.9305555555555554</v>
      </c>
      <c r="AL21" s="241">
        <f t="shared" si="82"/>
        <v>0</v>
      </c>
      <c r="AM21" s="241">
        <f t="shared" si="83"/>
        <v>0</v>
      </c>
      <c r="AN21" s="241">
        <f t="shared" si="84"/>
        <v>0</v>
      </c>
      <c r="AO21" s="241">
        <f t="shared" si="85"/>
        <v>0</v>
      </c>
      <c r="AP21" s="241">
        <f t="shared" si="86"/>
        <v>0</v>
      </c>
      <c r="AQ21" s="241">
        <f t="shared" si="87"/>
        <v>0</v>
      </c>
      <c r="AR21" s="241">
        <f t="shared" si="88"/>
        <v>0</v>
      </c>
      <c r="AS21" s="241">
        <f t="shared" si="89"/>
        <v>0</v>
      </c>
      <c r="AT21" s="241">
        <f t="shared" si="90"/>
        <v>0</v>
      </c>
      <c r="AU21" s="58">
        <f>IF($C21="","",VLOOKUP($C21,CTBat!$G$10:$BR$208,AU$4,FALSE))</f>
        <v>4</v>
      </c>
      <c r="AV21" s="37">
        <f>IF($C21="","",VLOOKUP($C21,CTBat!$G$10:$BR$208,AV$4,FALSE))</f>
        <v>6</v>
      </c>
      <c r="AW21" s="37">
        <f>IF($C21="","",VLOOKUP($C21,CTBat!$G$10:$BR$208,AW$4,FALSE))</f>
        <v>2</v>
      </c>
      <c r="AX21" s="37">
        <f>IF($C21="","",VLOOKUP($C21,CTBat!$G$10:$BR$208,AX$4,FALSE))</f>
        <v>3</v>
      </c>
      <c r="AY21" s="38">
        <f>IF($C21="","",VLOOKUP($C21,CTBat!$G$10:$BR$208,AY$4,FALSE))</f>
        <v>4</v>
      </c>
      <c r="AZ21" s="67">
        <f t="shared" si="91"/>
        <v>3.5555555555555554</v>
      </c>
    </row>
    <row r="22" spans="1:52">
      <c r="A22">
        <v>3</v>
      </c>
      <c r="B22" s="36" t="s">
        <v>100</v>
      </c>
      <c r="C22" s="37" t="s">
        <v>400</v>
      </c>
      <c r="D22" s="37">
        <f>IF($C22="","",VLOOKUP($C22,CTBat!$G$10:$BR$208,D$4,FALSE))</f>
        <v>24</v>
      </c>
      <c r="E22" s="37" t="str">
        <f>IF($C22="","",VLOOKUP($C22,CTBat!$G$10:$BR$208,E$4,FALSE))</f>
        <v>R</v>
      </c>
      <c r="F22" s="53">
        <f t="shared" si="92"/>
        <v>0</v>
      </c>
      <c r="G22" s="241">
        <f t="shared" si="73"/>
        <v>1</v>
      </c>
      <c r="H22" s="241">
        <f t="shared" ref="H22:H27" si="96">IF($C22="","",IF(AND(K22&gt;5,P22&lt;&gt;"-"),1,0))</f>
        <v>1</v>
      </c>
      <c r="I22" s="242" t="str">
        <f t="shared" si="93"/>
        <v>-</v>
      </c>
      <c r="J22" s="37">
        <f>IF($C22="","",VLOOKUP($C22,CTBat!$G$10:$BR$208,J$4,FALSE))</f>
        <v>1</v>
      </c>
      <c r="K22" s="37">
        <f>IF($C22="","",VLOOKUP($C22,CTBat!$G$10:$BR$208,K$4,FALSE))</f>
        <v>6</v>
      </c>
      <c r="L22" s="37">
        <f>IF($C22="","",VLOOKUP($C22,CTBat!$G$10:$BR$208,L$4,FALSE))</f>
        <v>2</v>
      </c>
      <c r="M22" s="58" t="str">
        <f>IF($C22="","",VLOOKUP($C22,CTBat!$G$10:$BR$208,M$4,FALSE))</f>
        <v>-</v>
      </c>
      <c r="N22" s="37">
        <f>IF($C22="","",VLOOKUP($C22,CTBat!$G$10:$BR$208,N$4,FALSE))</f>
        <v>8</v>
      </c>
      <c r="O22" s="37">
        <f>IF($C22="","",VLOOKUP($C22,CTBat!$G$10:$BR$208,O$4,FALSE))</f>
        <v>7</v>
      </c>
      <c r="P22" s="37">
        <f>IF($C22="","",VLOOKUP($C22,CTBat!$G$10:$BR$208,P$4,FALSE))</f>
        <v>1</v>
      </c>
      <c r="Q22" s="37">
        <f>IF($C22="","",VLOOKUP($C22,CTBat!$G$10:$BR$208,Q$4,FALSE))</f>
        <v>9</v>
      </c>
      <c r="R22" s="37" t="str">
        <f>IF($C22="","",VLOOKUP($C22,CTBat!$G$10:$BR$208,R$4,FALSE))</f>
        <v>-</v>
      </c>
      <c r="S22" s="37" t="str">
        <f>IF($C22="","",VLOOKUP($C22,CTBat!$G$10:$BR$208,S$4,FALSE))</f>
        <v>-</v>
      </c>
      <c r="T22" s="38" t="str">
        <f>IF($C22="","",VLOOKUP($C22,CTBat!$G$10:$BR$208,T$4,FALSE))</f>
        <v>-</v>
      </c>
      <c r="U22" s="241">
        <f>IF($C22="","",IF(OR(AD22+AG22&gt;14,AND(OR(AD22+AG22&gt;12,AND(AD22&gt;6,AG22&gt;6)),AI22&gt;6,OR(AJ22&gt;=AI22,AJ22&gt;6))),1,0))</f>
        <v>0</v>
      </c>
      <c r="V22" s="241">
        <f t="shared" si="75"/>
        <v>0</v>
      </c>
      <c r="W22" s="241">
        <f t="shared" si="94"/>
        <v>0</v>
      </c>
      <c r="X22" s="241">
        <f t="shared" si="76"/>
        <v>0</v>
      </c>
      <c r="Y22" s="241">
        <f t="shared" si="77"/>
        <v>0</v>
      </c>
      <c r="Z22" s="241">
        <f t="shared" si="78"/>
        <v>0</v>
      </c>
      <c r="AA22" s="241">
        <f t="shared" si="79"/>
        <v>0</v>
      </c>
      <c r="AB22" s="241">
        <f t="shared" si="80"/>
        <v>0</v>
      </c>
      <c r="AC22" s="241">
        <f t="shared" si="81"/>
        <v>0</v>
      </c>
      <c r="AD22" s="58">
        <f>IF($C22="","",VLOOKUP($C22,CTBat!$G$10:$BR$208,AD$4,FALSE))</f>
        <v>4</v>
      </c>
      <c r="AE22" s="37">
        <f>IF($C22="","",VLOOKUP($C22,CTBat!$G$10:$BR$208,AE$4,FALSE))</f>
        <v>4</v>
      </c>
      <c r="AF22" s="37">
        <f>IF($C22="","",VLOOKUP($C22,CTBat!$G$10:$BR$208,AF$4,FALSE))</f>
        <v>2</v>
      </c>
      <c r="AG22" s="37">
        <f>IF($C22="","",VLOOKUP($C22,CTBat!$G$10:$BR$208,AG$4,FALSE))</f>
        <v>4</v>
      </c>
      <c r="AH22" s="37">
        <f>IF($C22="","",VLOOKUP($C22,CTBat!$G$10:$BR$208,AH$4,FALSE))</f>
        <v>4</v>
      </c>
      <c r="AI22" s="37">
        <f>IF($C22="","",VLOOKUP($C22,CTBat!$G$10:$BR$208,AI$4,FALSE))</f>
        <v>7</v>
      </c>
      <c r="AJ22" s="38">
        <f>IF($C22="","",VLOOKUP($C22,CTBat!$G$10:$BR$208,AJ$4,FALSE))</f>
        <v>8</v>
      </c>
      <c r="AK22" s="67">
        <f t="shared" si="95"/>
        <v>3.5</v>
      </c>
      <c r="AL22" s="241">
        <f t="shared" si="82"/>
        <v>0</v>
      </c>
      <c r="AM22" s="241">
        <f t="shared" si="83"/>
        <v>0</v>
      </c>
      <c r="AN22" s="241">
        <f t="shared" si="84"/>
        <v>0</v>
      </c>
      <c r="AO22" s="241">
        <f t="shared" si="85"/>
        <v>0</v>
      </c>
      <c r="AP22" s="241">
        <f t="shared" si="86"/>
        <v>0</v>
      </c>
      <c r="AQ22" s="241">
        <f t="shared" si="87"/>
        <v>0</v>
      </c>
      <c r="AR22" s="241">
        <f t="shared" si="88"/>
        <v>0</v>
      </c>
      <c r="AS22" s="241">
        <f t="shared" si="89"/>
        <v>0</v>
      </c>
      <c r="AT22" s="241">
        <f t="shared" si="90"/>
        <v>0</v>
      </c>
      <c r="AU22" s="58">
        <f>IF($C22="","",VLOOKUP($C22,CTBat!$G$10:$BR$208,AU$4,FALSE))</f>
        <v>5</v>
      </c>
      <c r="AV22" s="37">
        <f>IF($C22="","",VLOOKUP($C22,CTBat!$G$10:$BR$208,AV$4,FALSE))</f>
        <v>4</v>
      </c>
      <c r="AW22" s="37">
        <f>IF($C22="","",VLOOKUP($C22,CTBat!$G$10:$BR$208,AW$4,FALSE))</f>
        <v>2</v>
      </c>
      <c r="AX22" s="37">
        <f>IF($C22="","",VLOOKUP($C22,CTBat!$G$10:$BR$208,AX$4,FALSE))</f>
        <v>5</v>
      </c>
      <c r="AY22" s="38">
        <f>IF($C22="","",VLOOKUP($C22,CTBat!$G$10:$BR$208,AY$4,FALSE))</f>
        <v>4</v>
      </c>
      <c r="AZ22" s="67">
        <f t="shared" si="91"/>
        <v>4.0555555555555554</v>
      </c>
    </row>
    <row r="23" spans="1:52">
      <c r="A23">
        <v>4</v>
      </c>
      <c r="B23" s="36" t="s">
        <v>104</v>
      </c>
      <c r="C23" s="37" t="s">
        <v>468</v>
      </c>
      <c r="D23" s="37">
        <f>IF($C23="","",VLOOKUP($C23,CTBat!$G$10:$BR$208,D$4,FALSE))</f>
        <v>18</v>
      </c>
      <c r="E23" s="37" t="str">
        <f>IF($C23="","",VLOOKUP($C23,CTBat!$G$10:$BR$208,E$4,FALSE))</f>
        <v>S</v>
      </c>
      <c r="F23" s="53">
        <f t="shared" si="92"/>
        <v>0</v>
      </c>
      <c r="G23" s="241">
        <f t="shared" si="73"/>
        <v>1</v>
      </c>
      <c r="H23" s="241">
        <f t="shared" si="96"/>
        <v>0</v>
      </c>
      <c r="I23" s="242" t="str">
        <f t="shared" si="93"/>
        <v>-</v>
      </c>
      <c r="J23" s="37">
        <f>IF($C23="","",VLOOKUP($C23,CTBat!$G$10:$BR$208,J$4,FALSE))</f>
        <v>1</v>
      </c>
      <c r="K23" s="37">
        <f>IF($C23="","",VLOOKUP($C23,CTBat!$G$10:$BR$208,K$4,FALSE))</f>
        <v>4</v>
      </c>
      <c r="L23" s="37">
        <f>IF($C23="","",VLOOKUP($C23,CTBat!$G$10:$BR$208,L$4,FALSE))</f>
        <v>2</v>
      </c>
      <c r="M23" s="58" t="str">
        <f>IF($C23="","",VLOOKUP($C23,CTBat!$G$10:$BR$208,M$4,FALSE))</f>
        <v>-</v>
      </c>
      <c r="N23" s="37" t="str">
        <f>IF($C23="","",VLOOKUP($C23,CTBat!$G$10:$BR$208,N$4,FALSE))</f>
        <v>-</v>
      </c>
      <c r="O23" s="37">
        <f>IF($C23="","",VLOOKUP($C23,CTBat!$G$10:$BR$208,O$4,FALSE))</f>
        <v>2</v>
      </c>
      <c r="P23" s="37">
        <f>IF($C23="","",VLOOKUP($C23,CTBat!$G$10:$BR$208,P$4,FALSE))</f>
        <v>1</v>
      </c>
      <c r="Q23" s="37">
        <f>IF($C23="","",VLOOKUP($C23,CTBat!$G$10:$BR$208,Q$4,FALSE))</f>
        <v>1</v>
      </c>
      <c r="R23" s="37" t="str">
        <f>IF($C23="","",VLOOKUP($C23,CTBat!$G$10:$BR$208,R$4,FALSE))</f>
        <v>-</v>
      </c>
      <c r="S23" s="37" t="str">
        <f>IF($C23="","",VLOOKUP($C23,CTBat!$G$10:$BR$208,S$4,FALSE))</f>
        <v>-</v>
      </c>
      <c r="T23" s="38" t="str">
        <f>IF($C23="","",VLOOKUP($C23,CTBat!$G$10:$BR$208,T$4,FALSE))</f>
        <v>-</v>
      </c>
      <c r="U23" s="241">
        <f t="shared" ref="U23:U27" si="97">IF($C23="","",IF(OR(AD23+AG23&gt;14,AND(OR(AD23+AG23&gt;12,AND(AD23&gt;6,AG23&gt;6)),AI23&gt;6,OR(AJ23&gt;=AI23,AJ23&gt;6))),1,0))</f>
        <v>0</v>
      </c>
      <c r="V23" s="241">
        <f t="shared" si="75"/>
        <v>0</v>
      </c>
      <c r="W23" s="241">
        <f t="shared" si="94"/>
        <v>0</v>
      </c>
      <c r="X23" s="241">
        <f t="shared" si="76"/>
        <v>0</v>
      </c>
      <c r="Y23" s="241">
        <f t="shared" si="77"/>
        <v>0</v>
      </c>
      <c r="Z23" s="241">
        <f t="shared" si="78"/>
        <v>0</v>
      </c>
      <c r="AA23" s="241">
        <f t="shared" si="79"/>
        <v>0</v>
      </c>
      <c r="AB23" s="241">
        <f t="shared" si="80"/>
        <v>0</v>
      </c>
      <c r="AC23" s="241">
        <f t="shared" si="81"/>
        <v>0</v>
      </c>
      <c r="AD23" s="58">
        <f>IF($C23="","",VLOOKUP($C23,CTBat!$G$10:$BR$208,AD$4,FALSE))</f>
        <v>5</v>
      </c>
      <c r="AE23" s="37">
        <f>IF($C23="","",VLOOKUP($C23,CTBat!$G$10:$BR$208,AE$4,FALSE))</f>
        <v>4</v>
      </c>
      <c r="AF23" s="37">
        <f>IF($C23="","",VLOOKUP($C23,CTBat!$G$10:$BR$208,AF$4,FALSE))</f>
        <v>2</v>
      </c>
      <c r="AG23" s="37">
        <f>IF($C23="","",VLOOKUP($C23,CTBat!$G$10:$BR$208,AG$4,FALSE))</f>
        <v>2</v>
      </c>
      <c r="AH23" s="37">
        <f>IF($C23="","",VLOOKUP($C23,CTBat!$G$10:$BR$208,AH$4,FALSE))</f>
        <v>4</v>
      </c>
      <c r="AI23" s="37">
        <f>IF($C23="","",VLOOKUP($C23,CTBat!$G$10:$BR$208,AI$4,FALSE))</f>
        <v>8</v>
      </c>
      <c r="AJ23" s="38">
        <f>IF($C23="","",VLOOKUP($C23,CTBat!$G$10:$BR$208,AJ$4,FALSE))</f>
        <v>10</v>
      </c>
      <c r="AK23" s="67">
        <f t="shared" si="95"/>
        <v>3.4722222222222223</v>
      </c>
      <c r="AL23" s="241">
        <f t="shared" si="82"/>
        <v>0</v>
      </c>
      <c r="AM23" s="241">
        <f t="shared" si="83"/>
        <v>0</v>
      </c>
      <c r="AN23" s="241">
        <f t="shared" si="84"/>
        <v>0</v>
      </c>
      <c r="AO23" s="241">
        <f t="shared" si="85"/>
        <v>0</v>
      </c>
      <c r="AP23" s="241">
        <f t="shared" si="86"/>
        <v>0</v>
      </c>
      <c r="AQ23" s="241">
        <f t="shared" si="87"/>
        <v>0</v>
      </c>
      <c r="AR23" s="241">
        <f t="shared" si="88"/>
        <v>0</v>
      </c>
      <c r="AS23" s="241">
        <f t="shared" si="89"/>
        <v>0</v>
      </c>
      <c r="AT23" s="241">
        <f t="shared" si="90"/>
        <v>0</v>
      </c>
      <c r="AU23" s="58">
        <f>IF($C23="","",VLOOKUP($C23,CTBat!$G$10:$BR$208,AU$4,FALSE))</f>
        <v>5</v>
      </c>
      <c r="AV23" s="37">
        <f>IF($C23="","",VLOOKUP($C23,CTBat!$G$10:$BR$208,AV$4,FALSE))</f>
        <v>4</v>
      </c>
      <c r="AW23" s="37">
        <f>IF($C23="","",VLOOKUP($C23,CTBat!$G$10:$BR$208,AW$4,FALSE))</f>
        <v>3</v>
      </c>
      <c r="AX23" s="37">
        <f>IF($C23="","",VLOOKUP($C23,CTBat!$G$10:$BR$208,AX$4,FALSE))</f>
        <v>3</v>
      </c>
      <c r="AY23" s="38">
        <f>IF($C23="","",VLOOKUP($C23,CTBat!$G$10:$BR$208,AY$4,FALSE))</f>
        <v>4</v>
      </c>
      <c r="AZ23" s="67">
        <f t="shared" si="91"/>
        <v>3.9166666666666665</v>
      </c>
    </row>
    <row r="24" spans="1:52">
      <c r="A24">
        <v>5</v>
      </c>
      <c r="B24" s="36" t="s">
        <v>104</v>
      </c>
      <c r="C24" s="65" t="s">
        <v>632</v>
      </c>
      <c r="D24" s="37">
        <f>IF($C24="","",VLOOKUP($C24,CTBat!$G$10:$BR$208,D$4,FALSE))</f>
        <v>22</v>
      </c>
      <c r="E24" s="37" t="str">
        <f>IF($C24="","",VLOOKUP($C24,CTBat!$G$10:$BR$208,E$4,FALSE))</f>
        <v>R</v>
      </c>
      <c r="F24" s="53">
        <f t="shared" ref="F24" si="98">IF($C24="","",IF(AND(O24&gt;0,O24=SUM(M24:T24)),1,0))</f>
        <v>0</v>
      </c>
      <c r="G24" s="288">
        <f t="shared" ref="G24" si="99">IF($C24="","",IF(Q24&lt;&gt;"-",1,0))</f>
        <v>1</v>
      </c>
      <c r="H24" s="288">
        <f t="shared" ref="H24" si="100">IF($C24="","",IF(AND(K24&gt;5,P24&lt;&gt;"-"),1,0))</f>
        <v>0</v>
      </c>
      <c r="I24" s="289" t="str">
        <f t="shared" si="93"/>
        <v>-</v>
      </c>
      <c r="J24" s="37">
        <f>IF($C24="","",VLOOKUP($C24,CTBat!$G$10:$BR$208,J$4,FALSE))</f>
        <v>1</v>
      </c>
      <c r="K24" s="37">
        <f>IF($C24="","",VLOOKUP($C24,CTBat!$G$10:$BR$208,K$4,FALSE))</f>
        <v>7</v>
      </c>
      <c r="L24" s="37">
        <f>IF($C24="","",VLOOKUP($C24,CTBat!$G$10:$BR$208,L$4,FALSE))</f>
        <v>5</v>
      </c>
      <c r="M24" s="58" t="str">
        <f>IF($C24="","",VLOOKUP($C24,CTBat!$G$10:$BR$208,M$4,FALSE))</f>
        <v>-</v>
      </c>
      <c r="N24" s="37" t="str">
        <f>IF($C24="","",VLOOKUP($C24,CTBat!$G$10:$BR$208,N$4,FALSE))</f>
        <v>-</v>
      </c>
      <c r="O24" s="37" t="str">
        <f>IF($C24="","",VLOOKUP($C24,CTBat!$G$10:$BR$208,O$4,FALSE))</f>
        <v>-</v>
      </c>
      <c r="P24" s="37" t="str">
        <f>IF($C24="","",VLOOKUP($C24,CTBat!$G$10:$BR$208,P$4,FALSE))</f>
        <v>-</v>
      </c>
      <c r="Q24" s="37">
        <f>IF($C24="","",VLOOKUP($C24,CTBat!$G$10:$BR$208,Q$4,FALSE))</f>
        <v>6</v>
      </c>
      <c r="R24" s="37" t="str">
        <f>IF($C24="","",VLOOKUP($C24,CTBat!$G$10:$BR$208,R$4,FALSE))</f>
        <v>-</v>
      </c>
      <c r="S24" s="37" t="str">
        <f>IF($C24="","",VLOOKUP($C24,CTBat!$G$10:$BR$208,S$4,FALSE))</f>
        <v>-</v>
      </c>
      <c r="T24" s="38" t="str">
        <f>IF($C24="","",VLOOKUP($C24,CTBat!$G$10:$BR$208,T$4,FALSE))</f>
        <v>-</v>
      </c>
      <c r="U24" s="288">
        <f t="shared" ref="U24" si="101">IF($C24="","",IF(OR(AD24+AG24&gt;14,AND(OR(AD24+AG24&gt;12,AND(AD24&gt;6,AG24&gt;6)),AI24&gt;6,OR(AJ24&gt;=AI24,AJ24&gt;6))),1,0))</f>
        <v>0</v>
      </c>
      <c r="V24" s="288">
        <f t="shared" ref="V24" si="102">IF($C24="","",IF(OR(AND(AD24&gt;6,AH24&gt;6),AD24+AG24&gt;12),1,0))</f>
        <v>0</v>
      </c>
      <c r="W24" s="288">
        <f t="shared" ref="W24" si="103">IF($C24="","",IF(AND(AD24&gt;6,AF24&gt;6,AG24&gt;6),1,0))</f>
        <v>0</v>
      </c>
      <c r="X24" s="288">
        <f t="shared" ref="X24" si="104">IF($C24="","",IF(AND(AF24&gt;7,OR(AD24&gt;6,AG24&gt;6)),1,0))</f>
        <v>0</v>
      </c>
      <c r="Y24" s="288">
        <f t="shared" ref="Y24" si="105">IF($C24="","",IF(AND(AF24&gt;6,OR(AD24&gt;6,AG24&gt;6)),1,0))</f>
        <v>0</v>
      </c>
      <c r="Z24" s="288">
        <f t="shared" ref="Z24" si="106">IF($C24="","",IF(AND(OR(AD24&gt;6,AF24&gt;6),OR(AD24&gt;6,AG24&gt;6)),1,0))</f>
        <v>0</v>
      </c>
      <c r="AA24" s="288">
        <f t="shared" ref="AA24" si="107">IF($C24="","",IF(AND(AD24&gt;4,OR(AD24&gt;6,AF24&gt;6,AG24&gt;6)),1,0))</f>
        <v>0</v>
      </c>
      <c r="AB24" s="288">
        <f t="shared" ref="AB24" si="108">IF($C24="","",IF(AND(AD24&gt;4,OR(AD24&gt;6,AE24&gt;6,AF24&gt;6,AG24&gt;6)),1,0))</f>
        <v>0</v>
      </c>
      <c r="AC24" s="288">
        <f t="shared" ref="AC24" si="109">IF($C24="","",IF(AND(AD24&gt;4,MAX(AD24:AH24)&gt;6),1,0))</f>
        <v>0</v>
      </c>
      <c r="AD24" s="58">
        <f>IF($C24="","",VLOOKUP($C24,CTBat!$G$10:$BR$208,AD$4,FALSE))</f>
        <v>4</v>
      </c>
      <c r="AE24" s="37">
        <f>IF($C24="","",VLOOKUP($C24,CTBat!$G$10:$BR$208,AE$4,FALSE))</f>
        <v>3</v>
      </c>
      <c r="AF24" s="37">
        <f>IF($C24="","",VLOOKUP($C24,CTBat!$G$10:$BR$208,AF$4,FALSE))</f>
        <v>3</v>
      </c>
      <c r="AG24" s="37">
        <f>IF($C24="","",VLOOKUP($C24,CTBat!$G$10:$BR$208,AG$4,FALSE))</f>
        <v>2</v>
      </c>
      <c r="AH24" s="37">
        <f>IF($C24="","",VLOOKUP($C24,CTBat!$G$10:$BR$208,AH$4,FALSE))</f>
        <v>2</v>
      </c>
      <c r="AI24" s="37">
        <f>IF($C24="","",VLOOKUP($C24,CTBat!$G$10:$BR$208,AI$4,FALSE))</f>
        <v>10</v>
      </c>
      <c r="AJ24" s="38">
        <f>IF($C24="","",VLOOKUP($C24,CTBat!$G$10:$BR$208,AJ$4,FALSE))</f>
        <v>8</v>
      </c>
      <c r="AK24" s="67">
        <f t="shared" ref="AK24" si="110">IF($C24="","",(5*AD24+4*AF24+3*AG24+2*AE24+1*AH24+0.5*(AVERAGE(AD24:AE24))+0.5*AVERAGE(AD24,AH24)+1*(AVERAGE(AD24,AF24))+1*AVERAGE(AD24,AG24))/(5+4+3+2+1+0.5+0.5+1+1))</f>
        <v>3.0972222222222223</v>
      </c>
      <c r="AL24" s="288">
        <f t="shared" ref="AL24" si="111">IF($C24="","",IF(AND(OR(AU24+AX24&gt;12,AND(AU24&gt;6,AX24&gt;6)),AI24&gt;6,OR(AJ24&gt;=AI24,AJ24&gt;6)),1,0))</f>
        <v>0</v>
      </c>
      <c r="AM24" s="288">
        <f t="shared" ref="AM24" si="112">IF($C24="","",IF(OR(AND(AU24&gt;6,AY24&gt;6),AU24+AX24&gt;12),1,0))</f>
        <v>0</v>
      </c>
      <c r="AN24" s="288">
        <f t="shared" ref="AN24" si="113">IF($C24="","",IF(AND(AU24&gt;6,AW24&gt;6,AX24&gt;6),1,0))</f>
        <v>0</v>
      </c>
      <c r="AO24" s="288">
        <f t="shared" ref="AO24" si="114">IF($C24="","",IF(AND(AW24&gt;7,OR(AU24&gt;6,AX24&gt;6)),1,0))</f>
        <v>0</v>
      </c>
      <c r="AP24" s="288">
        <f t="shared" ref="AP24" si="115">IF($C24="","",IF(AND(AW24&gt;6,OR(AU24&gt;6,AX24&gt;6)),1,0))</f>
        <v>0</v>
      </c>
      <c r="AQ24" s="288">
        <f t="shared" ref="AQ24" si="116">IF($C24="","",IF(AND(OR(AU24&gt;6,AW24&gt;6),OR(AU24&gt;6,AX24&gt;6)),1,0))</f>
        <v>0</v>
      </c>
      <c r="AR24" s="288">
        <f t="shared" ref="AR24" si="117">IF($C24="","",IF(AND(AU24&gt;4,OR(AU24&gt;6,AW24&gt;6,AX24&gt;6)),1,0))</f>
        <v>1</v>
      </c>
      <c r="AS24" s="288">
        <f t="shared" ref="AS24" si="118">IF($C24="","",IF(AND(AU24&gt;4,OR(AU24&gt;6,AV24&gt;6,AW24&gt;6,AX24&gt;6)),1,0))</f>
        <v>1</v>
      </c>
      <c r="AT24" s="288">
        <f t="shared" ref="AT24" si="119">IF($C24="","",IF(AND(AU24&gt;4,MAX(AU24:AY24)&gt;6),1,0))</f>
        <v>1</v>
      </c>
      <c r="AU24" s="58">
        <f>IF($C24="","",VLOOKUP($C24,CTBat!$G$10:$BR$208,AU$4,FALSE))</f>
        <v>5</v>
      </c>
      <c r="AV24" s="37">
        <f>IF($C24="","",VLOOKUP($C24,CTBat!$G$10:$BR$208,AV$4,FALSE))</f>
        <v>4</v>
      </c>
      <c r="AW24" s="37">
        <f>IF($C24="","",VLOOKUP($C24,CTBat!$G$10:$BR$208,AW$4,FALSE))</f>
        <v>7</v>
      </c>
      <c r="AX24" s="37">
        <f>IF($C24="","",VLOOKUP($C24,CTBat!$G$10:$BR$208,AX$4,FALSE))</f>
        <v>4</v>
      </c>
      <c r="AY24" s="38">
        <f>IF($C24="","",VLOOKUP($C24,CTBat!$G$10:$BR$208,AY$4,FALSE))</f>
        <v>4</v>
      </c>
      <c r="AZ24" s="67">
        <f t="shared" ref="AZ24" si="120">IF($C24="","",(5*AU24+4*AW24+3*AX24+2*AV24+1*AY24+0.5*(AVERAGE(AU24:AV24))+0.5*AVERAGE(AU24,AY24)+1*(AVERAGE(AU24,AW24))+1*AVERAGE(AU24,AX24))/(5+4+3+2+1+0.5+0.5+1+1))</f>
        <v>5.1111111111111107</v>
      </c>
    </row>
    <row r="25" spans="1:52">
      <c r="A25">
        <v>6</v>
      </c>
      <c r="B25" s="36" t="s">
        <v>104</v>
      </c>
      <c r="C25" s="65" t="s">
        <v>437</v>
      </c>
      <c r="D25" s="37">
        <f>IF($C25="","",VLOOKUP($C25,CTBat!$G$10:$BR$208,D$4,FALSE))</f>
        <v>23</v>
      </c>
      <c r="E25" s="37" t="str">
        <f>IF($C25="","",VLOOKUP($C25,CTBat!$G$10:$BR$208,E$4,FALSE))</f>
        <v>R</v>
      </c>
      <c r="F25" s="53">
        <f t="shared" ref="F25" si="121">IF($C25="","",IF(AND(O25&gt;0,O25=SUM(M25:T25)),1,0))</f>
        <v>0</v>
      </c>
      <c r="G25" s="288">
        <f t="shared" ref="G25" si="122">IF($C25="","",IF(Q25&lt;&gt;"-",1,0))</f>
        <v>0</v>
      </c>
      <c r="H25" s="288">
        <f t="shared" ref="H25" si="123">IF($C25="","",IF(AND(K25&gt;5,P25&lt;&gt;"-"),1,0))</f>
        <v>0</v>
      </c>
      <c r="I25" s="289" t="str">
        <f t="shared" si="93"/>
        <v>-</v>
      </c>
      <c r="J25" s="37">
        <f>IF($C25="","",VLOOKUP($C25,CTBat!$G$10:$BR$208,J$4,FALSE))</f>
        <v>1</v>
      </c>
      <c r="K25" s="37">
        <f>IF($C25="","",VLOOKUP($C25,CTBat!$G$10:$BR$208,K$4,FALSE))</f>
        <v>2</v>
      </c>
      <c r="L25" s="37">
        <f>IF($C25="","",VLOOKUP($C25,CTBat!$G$10:$BR$208,L$4,FALSE))</f>
        <v>3</v>
      </c>
      <c r="M25" s="58" t="str">
        <f>IF($C25="","",VLOOKUP($C25,CTBat!$G$10:$BR$208,M$4,FALSE))</f>
        <v>-</v>
      </c>
      <c r="N25" s="37">
        <f>IF($C25="","",VLOOKUP($C25,CTBat!$G$10:$BR$208,N$4,FALSE))</f>
        <v>10</v>
      </c>
      <c r="O25" s="37">
        <f>IF($C25="","",VLOOKUP($C25,CTBat!$G$10:$BR$208,O$4,FALSE))</f>
        <v>10</v>
      </c>
      <c r="P25" s="37" t="str">
        <f>IF($C25="","",VLOOKUP($C25,CTBat!$G$10:$BR$208,P$4,FALSE))</f>
        <v>-</v>
      </c>
      <c r="Q25" s="37" t="str">
        <f>IF($C25="","",VLOOKUP($C25,CTBat!$G$10:$BR$208,Q$4,FALSE))</f>
        <v>-</v>
      </c>
      <c r="R25" s="37">
        <f>IF($C25="","",VLOOKUP($C25,CTBat!$G$10:$BR$208,R$4,FALSE))</f>
        <v>1</v>
      </c>
      <c r="S25" s="37" t="str">
        <f>IF($C25="","",VLOOKUP($C25,CTBat!$G$10:$BR$208,S$4,FALSE))</f>
        <v>-</v>
      </c>
      <c r="T25" s="38" t="str">
        <f>IF($C25="","",VLOOKUP($C25,CTBat!$G$10:$BR$208,T$4,FALSE))</f>
        <v>-</v>
      </c>
      <c r="U25" s="288">
        <f t="shared" ref="U25" si="124">IF($C25="","",IF(OR(AD25+AG25&gt;14,AND(OR(AD25+AG25&gt;12,AND(AD25&gt;6,AG25&gt;6)),AI25&gt;6,OR(AJ25&gt;=AI25,AJ25&gt;6))),1,0))</f>
        <v>0</v>
      </c>
      <c r="V25" s="288">
        <f t="shared" ref="V25" si="125">IF($C25="","",IF(OR(AND(AD25&gt;6,AH25&gt;6),AD25+AG25&gt;12),1,0))</f>
        <v>0</v>
      </c>
      <c r="W25" s="288">
        <f t="shared" ref="W25" si="126">IF($C25="","",IF(AND(AD25&gt;6,AF25&gt;6,AG25&gt;6),1,0))</f>
        <v>0</v>
      </c>
      <c r="X25" s="288">
        <f t="shared" ref="X25" si="127">IF($C25="","",IF(AND(AF25&gt;7,OR(AD25&gt;6,AG25&gt;6)),1,0))</f>
        <v>0</v>
      </c>
      <c r="Y25" s="288">
        <f t="shared" ref="Y25" si="128">IF($C25="","",IF(AND(AF25&gt;6,OR(AD25&gt;6,AG25&gt;6)),1,0))</f>
        <v>0</v>
      </c>
      <c r="Z25" s="288">
        <f t="shared" ref="Z25" si="129">IF($C25="","",IF(AND(OR(AD25&gt;6,AF25&gt;6),OR(AD25&gt;6,AG25&gt;6)),1,0))</f>
        <v>0</v>
      </c>
      <c r="AA25" s="288">
        <f t="shared" ref="AA25" si="130">IF($C25="","",IF(AND(AD25&gt;4,OR(AD25&gt;6,AF25&gt;6,AG25&gt;6)),1,0))</f>
        <v>0</v>
      </c>
      <c r="AB25" s="288">
        <f t="shared" ref="AB25" si="131">IF($C25="","",IF(AND(AD25&gt;4,OR(AD25&gt;6,AE25&gt;6,AF25&gt;6,AG25&gt;6)),1,0))</f>
        <v>0</v>
      </c>
      <c r="AC25" s="288">
        <f t="shared" ref="AC25" si="132">IF($C25="","",IF(AND(AD25&gt;4,MAX(AD25:AH25)&gt;6),1,0))</f>
        <v>0</v>
      </c>
      <c r="AD25" s="58">
        <f>IF($C25="","",VLOOKUP($C25,CTBat!$G$10:$BR$208,AD$4,FALSE))</f>
        <v>3</v>
      </c>
      <c r="AE25" s="37">
        <f>IF($C25="","",VLOOKUP($C25,CTBat!$G$10:$BR$208,AE$4,FALSE))</f>
        <v>3</v>
      </c>
      <c r="AF25" s="37">
        <f>IF($C25="","",VLOOKUP($C25,CTBat!$G$10:$BR$208,AF$4,FALSE))</f>
        <v>1</v>
      </c>
      <c r="AG25" s="37">
        <f>IF($C25="","",VLOOKUP($C25,CTBat!$G$10:$BR$208,AG$4,FALSE))</f>
        <v>2</v>
      </c>
      <c r="AH25" s="37">
        <f>IF($C25="","",VLOOKUP($C25,CTBat!$G$10:$BR$208,AH$4,FALSE))</f>
        <v>2</v>
      </c>
      <c r="AI25" s="37">
        <f>IF($C25="","",VLOOKUP($C25,CTBat!$G$10:$BR$208,AI$4,FALSE))</f>
        <v>6</v>
      </c>
      <c r="AJ25" s="38">
        <f>IF($C25="","",VLOOKUP($C25,CTBat!$G$10:$BR$208,AJ$4,FALSE))</f>
        <v>7</v>
      </c>
      <c r="AK25" s="67">
        <f t="shared" ref="AK25" si="133">IF($C25="","",(5*AD25+4*AF25+3*AG25+2*AE25+1*AH25+0.5*(AVERAGE(AD25:AE25))+0.5*AVERAGE(AD25,AH25)+1*(AVERAGE(AD25,AF25))+1*AVERAGE(AD25,AG25))/(5+4+3+2+1+0.5+0.5+1+1))</f>
        <v>2.2361111111111112</v>
      </c>
      <c r="AL25" s="288">
        <f t="shared" ref="AL25" si="134">IF($C25="","",IF(AND(OR(AU25+AX25&gt;12,AND(AU25&gt;6,AX25&gt;6)),AI25&gt;6,OR(AJ25&gt;=AI25,AJ25&gt;6)),1,0))</f>
        <v>0</v>
      </c>
      <c r="AM25" s="288">
        <f t="shared" ref="AM25" si="135">IF($C25="","",IF(OR(AND(AU25&gt;6,AY25&gt;6),AU25+AX25&gt;12),1,0))</f>
        <v>0</v>
      </c>
      <c r="AN25" s="288">
        <f t="shared" ref="AN25" si="136">IF($C25="","",IF(AND(AU25&gt;6,AW25&gt;6,AX25&gt;6),1,0))</f>
        <v>0</v>
      </c>
      <c r="AO25" s="288">
        <f t="shared" ref="AO25" si="137">IF($C25="","",IF(AND(AW25&gt;7,OR(AU25&gt;6,AX25&gt;6)),1,0))</f>
        <v>0</v>
      </c>
      <c r="AP25" s="288">
        <f t="shared" ref="AP25" si="138">IF($C25="","",IF(AND(AW25&gt;6,OR(AU25&gt;6,AX25&gt;6)),1,0))</f>
        <v>0</v>
      </c>
      <c r="AQ25" s="288">
        <f t="shared" ref="AQ25" si="139">IF($C25="","",IF(AND(OR(AU25&gt;6,AW25&gt;6),OR(AU25&gt;6,AX25&gt;6)),1,0))</f>
        <v>0</v>
      </c>
      <c r="AR25" s="288">
        <f t="shared" ref="AR25" si="140">IF($C25="","",IF(AND(AU25&gt;4,OR(AU25&gt;6,AW25&gt;6,AX25&gt;6)),1,0))</f>
        <v>0</v>
      </c>
      <c r="AS25" s="288">
        <f t="shared" ref="AS25" si="141">IF($C25="","",IF(AND(AU25&gt;4,OR(AU25&gt;6,AV25&gt;6,AW25&gt;6,AX25&gt;6)),1,0))</f>
        <v>0</v>
      </c>
      <c r="AT25" s="288">
        <f t="shared" ref="AT25" si="142">IF($C25="","",IF(AND(AU25&gt;4,MAX(AU25:AY25)&gt;6),1,0))</f>
        <v>0</v>
      </c>
      <c r="AU25" s="58">
        <f>IF($C25="","",VLOOKUP($C25,CTBat!$G$10:$BR$208,AU$4,FALSE))</f>
        <v>4</v>
      </c>
      <c r="AV25" s="37">
        <f>IF($C25="","",VLOOKUP($C25,CTBat!$G$10:$BR$208,AV$4,FALSE))</f>
        <v>6</v>
      </c>
      <c r="AW25" s="37">
        <f>IF($C25="","",VLOOKUP($C25,CTBat!$G$10:$BR$208,AW$4,FALSE))</f>
        <v>2</v>
      </c>
      <c r="AX25" s="37">
        <f>IF($C25="","",VLOOKUP($C25,CTBat!$G$10:$BR$208,AX$4,FALSE))</f>
        <v>3</v>
      </c>
      <c r="AY25" s="38">
        <f>IF($C25="","",VLOOKUP($C25,CTBat!$G$10:$BR$208,AY$4,FALSE))</f>
        <v>3</v>
      </c>
      <c r="AZ25" s="67">
        <f t="shared" ref="AZ25" si="143">IF($C25="","",(5*AU25+4*AW25+3*AX25+2*AV25+1*AY25+0.5*(AVERAGE(AU25:AV25))+0.5*AVERAGE(AU25,AY25)+1*(AVERAGE(AU25,AW25))+1*AVERAGE(AU25,AX25))/(5+4+3+2+1+0.5+0.5+1+1))</f>
        <v>3.4861111111111112</v>
      </c>
    </row>
    <row r="26" spans="1:52">
      <c r="A26">
        <v>7</v>
      </c>
      <c r="B26" s="36" t="s">
        <v>104</v>
      </c>
      <c r="C26" s="65"/>
      <c r="D26" s="37" t="str">
        <f>IF($C26="","",VLOOKUP($C26,CTBat!$G$10:$BR$208,D$4,FALSE))</f>
        <v/>
      </c>
      <c r="E26" s="37" t="str">
        <f>IF($C26="","",VLOOKUP($C26,CTBat!$G$10:$BR$208,E$4,FALSE))</f>
        <v/>
      </c>
      <c r="F26" s="53" t="str">
        <f t="shared" si="92"/>
        <v/>
      </c>
      <c r="G26" s="241" t="str">
        <f t="shared" si="73"/>
        <v/>
      </c>
      <c r="H26" s="241" t="str">
        <f t="shared" si="96"/>
        <v/>
      </c>
      <c r="I26" s="242" t="str">
        <f t="shared" si="93"/>
        <v/>
      </c>
      <c r="J26" s="37" t="str">
        <f>IF($C26="","",VLOOKUP($C26,CTBat!$G$10:$BR$208,J$4,FALSE))</f>
        <v/>
      </c>
      <c r="K26" s="37" t="str">
        <f>IF($C26="","",VLOOKUP($C26,CTBat!$G$10:$BR$208,K$4,FALSE))</f>
        <v/>
      </c>
      <c r="L26" s="37" t="str">
        <f>IF($C26="","",VLOOKUP($C26,CTBat!$G$10:$BR$208,L$4,FALSE))</f>
        <v/>
      </c>
      <c r="M26" s="58" t="str">
        <f>IF($C26="","",VLOOKUP($C26,CTBat!$G$10:$BR$208,M$4,FALSE))</f>
        <v/>
      </c>
      <c r="N26" s="37" t="str">
        <f>IF($C26="","",VLOOKUP($C26,CTBat!$G$10:$BR$208,N$4,FALSE))</f>
        <v/>
      </c>
      <c r="O26" s="37" t="str">
        <f>IF($C26="","",VLOOKUP($C26,CTBat!$G$10:$BR$208,O$4,FALSE))</f>
        <v/>
      </c>
      <c r="P26" s="37" t="str">
        <f>IF($C26="","",VLOOKUP($C26,CTBat!$G$10:$BR$208,P$4,FALSE))</f>
        <v/>
      </c>
      <c r="Q26" s="37" t="str">
        <f>IF($C26="","",VLOOKUP($C26,CTBat!$G$10:$BR$208,Q$4,FALSE))</f>
        <v/>
      </c>
      <c r="R26" s="37" t="str">
        <f>IF($C26="","",VLOOKUP($C26,CTBat!$G$10:$BR$208,R$4,FALSE))</f>
        <v/>
      </c>
      <c r="S26" s="37" t="str">
        <f>IF($C26="","",VLOOKUP($C26,CTBat!$G$10:$BR$208,S$4,FALSE))</f>
        <v/>
      </c>
      <c r="T26" s="38" t="str">
        <f>IF($C26="","",VLOOKUP($C26,CTBat!$G$10:$BR$208,T$4,FALSE))</f>
        <v/>
      </c>
      <c r="U26" s="241" t="str">
        <f t="shared" si="97"/>
        <v/>
      </c>
      <c r="V26" s="241" t="str">
        <f t="shared" si="75"/>
        <v/>
      </c>
      <c r="W26" s="241" t="str">
        <f t="shared" si="94"/>
        <v/>
      </c>
      <c r="X26" s="241" t="str">
        <f t="shared" si="76"/>
        <v/>
      </c>
      <c r="Y26" s="241" t="str">
        <f t="shared" si="77"/>
        <v/>
      </c>
      <c r="Z26" s="241" t="str">
        <f t="shared" si="78"/>
        <v/>
      </c>
      <c r="AA26" s="241" t="str">
        <f t="shared" si="79"/>
        <v/>
      </c>
      <c r="AB26" s="241" t="str">
        <f t="shared" si="80"/>
        <v/>
      </c>
      <c r="AC26" s="241" t="str">
        <f t="shared" si="81"/>
        <v/>
      </c>
      <c r="AD26" s="58" t="str">
        <f>IF($C26="","",VLOOKUP($C26,CTBat!$G$10:$BR$208,AD$4,FALSE))</f>
        <v/>
      </c>
      <c r="AE26" s="37" t="str">
        <f>IF($C26="","",VLOOKUP($C26,CTBat!$G$10:$BR$208,AE$4,FALSE))</f>
        <v/>
      </c>
      <c r="AF26" s="37" t="str">
        <f>IF($C26="","",VLOOKUP($C26,CTBat!$G$10:$BR$208,AF$4,FALSE))</f>
        <v/>
      </c>
      <c r="AG26" s="37" t="str">
        <f>IF($C26="","",VLOOKUP($C26,CTBat!$G$10:$BR$208,AG$4,FALSE))</f>
        <v/>
      </c>
      <c r="AH26" s="37" t="str">
        <f>IF($C26="","",VLOOKUP($C26,CTBat!$G$10:$BR$208,AH$4,FALSE))</f>
        <v/>
      </c>
      <c r="AI26" s="37" t="str">
        <f>IF($C26="","",VLOOKUP($C26,CTBat!$G$10:$BR$208,AI$4,FALSE))</f>
        <v/>
      </c>
      <c r="AJ26" s="38" t="str">
        <f>IF($C26="","",VLOOKUP($C26,CTBat!$G$10:$BR$208,AJ$4,FALSE))</f>
        <v/>
      </c>
      <c r="AK26" s="67" t="str">
        <f t="shared" si="95"/>
        <v/>
      </c>
      <c r="AL26" s="241" t="str">
        <f t="shared" si="82"/>
        <v/>
      </c>
      <c r="AM26" s="241" t="str">
        <f t="shared" si="83"/>
        <v/>
      </c>
      <c r="AN26" s="241" t="str">
        <f t="shared" si="84"/>
        <v/>
      </c>
      <c r="AO26" s="241" t="str">
        <f t="shared" si="85"/>
        <v/>
      </c>
      <c r="AP26" s="241" t="str">
        <f t="shared" si="86"/>
        <v/>
      </c>
      <c r="AQ26" s="241" t="str">
        <f t="shared" si="87"/>
        <v/>
      </c>
      <c r="AR26" s="241" t="str">
        <f t="shared" si="88"/>
        <v/>
      </c>
      <c r="AS26" s="241" t="str">
        <f t="shared" si="89"/>
        <v/>
      </c>
      <c r="AT26" s="241" t="str">
        <f t="shared" si="90"/>
        <v/>
      </c>
      <c r="AU26" s="58" t="str">
        <f>IF($C26="","",VLOOKUP($C26,CTBat!$G$10:$BR$208,AU$4,FALSE))</f>
        <v/>
      </c>
      <c r="AV26" s="37" t="str">
        <f>IF($C26="","",VLOOKUP($C26,CTBat!$G$10:$BR$208,AV$4,FALSE))</f>
        <v/>
      </c>
      <c r="AW26" s="37" t="str">
        <f>IF($C26="","",VLOOKUP($C26,CTBat!$G$10:$BR$208,AW$4,FALSE))</f>
        <v/>
      </c>
      <c r="AX26" s="37" t="str">
        <f>IF($C26="","",VLOOKUP($C26,CTBat!$G$10:$BR$208,AX$4,FALSE))</f>
        <v/>
      </c>
      <c r="AY26" s="38" t="str">
        <f>IF($C26="","",VLOOKUP($C26,CTBat!$G$10:$BR$208,AY$4,FALSE))</f>
        <v/>
      </c>
      <c r="AZ26" s="67" t="str">
        <f t="shared" si="91"/>
        <v/>
      </c>
    </row>
    <row r="27" spans="1:52">
      <c r="A27">
        <v>8</v>
      </c>
      <c r="B27" s="39" t="s">
        <v>104</v>
      </c>
      <c r="C27" s="40"/>
      <c r="D27" s="40" t="str">
        <f>IF($C27="","",VLOOKUP($C27,CTBat!$G$10:$BR$208,D$4,FALSE))</f>
        <v/>
      </c>
      <c r="E27" s="40" t="str">
        <f>IF($C27="","",VLOOKUP($C27,CTBat!$G$10:$BR$208,E$4,FALSE))</f>
        <v/>
      </c>
      <c r="F27" s="54" t="str">
        <f t="shared" si="92"/>
        <v/>
      </c>
      <c r="G27" s="239" t="str">
        <f>IF($C27="","",IF(Q27&lt;&gt;"-",1,0))</f>
        <v/>
      </c>
      <c r="H27" s="239" t="str">
        <f t="shared" si="96"/>
        <v/>
      </c>
      <c r="I27" s="240" t="str">
        <f t="shared" si="93"/>
        <v/>
      </c>
      <c r="J27" s="40" t="str">
        <f>IF($C27="","",VLOOKUP($C27,CTBat!$G$10:$BR$208,J$4,FALSE))</f>
        <v/>
      </c>
      <c r="K27" s="40" t="str">
        <f>IF($C27="","",VLOOKUP($C27,CTBat!$G$10:$BR$208,K$4,FALSE))</f>
        <v/>
      </c>
      <c r="L27" s="40" t="str">
        <f>IF($C27="","",VLOOKUP($C27,CTBat!$G$10:$BR$208,L$4,FALSE))</f>
        <v/>
      </c>
      <c r="M27" s="59" t="str">
        <f>IF($C27="","",VLOOKUP($C27,CTBat!$G$10:$BR$208,M$4,FALSE))</f>
        <v/>
      </c>
      <c r="N27" s="40" t="str">
        <f>IF($C27="","",VLOOKUP($C27,CTBat!$G$10:$BR$208,N$4,FALSE))</f>
        <v/>
      </c>
      <c r="O27" s="40" t="str">
        <f>IF($C27="","",VLOOKUP($C27,CTBat!$G$10:$BR$208,O$4,FALSE))</f>
        <v/>
      </c>
      <c r="P27" s="40" t="str">
        <f>IF($C27="","",VLOOKUP($C27,CTBat!$G$10:$BR$208,P$4,FALSE))</f>
        <v/>
      </c>
      <c r="Q27" s="40" t="str">
        <f>IF($C27="","",VLOOKUP($C27,CTBat!$G$10:$BR$208,Q$4,FALSE))</f>
        <v/>
      </c>
      <c r="R27" s="40" t="str">
        <f>IF($C27="","",VLOOKUP($C27,CTBat!$G$10:$BR$208,R$4,FALSE))</f>
        <v/>
      </c>
      <c r="S27" s="40" t="str">
        <f>IF($C27="","",VLOOKUP($C27,CTBat!$G$10:$BR$208,S$4,FALSE))</f>
        <v/>
      </c>
      <c r="T27" s="42" t="str">
        <f>IF($C27="","",VLOOKUP($C27,CTBat!$G$10:$BR$208,T$4,FALSE))</f>
        <v/>
      </c>
      <c r="U27" s="239" t="str">
        <f t="shared" si="97"/>
        <v/>
      </c>
      <c r="V27" s="239" t="str">
        <f t="shared" si="75"/>
        <v/>
      </c>
      <c r="W27" s="239" t="str">
        <f t="shared" si="94"/>
        <v/>
      </c>
      <c r="X27" s="239" t="str">
        <f t="shared" si="76"/>
        <v/>
      </c>
      <c r="Y27" s="239" t="str">
        <f t="shared" si="77"/>
        <v/>
      </c>
      <c r="Z27" s="239" t="str">
        <f t="shared" si="78"/>
        <v/>
      </c>
      <c r="AA27" s="239" t="str">
        <f t="shared" si="79"/>
        <v/>
      </c>
      <c r="AB27" s="239" t="str">
        <f t="shared" si="80"/>
        <v/>
      </c>
      <c r="AC27" s="239" t="str">
        <f t="shared" si="81"/>
        <v/>
      </c>
      <c r="AD27" s="59" t="str">
        <f>IF($C27="","",VLOOKUP($C27,CTBat!$G$10:$BR$208,AD$4,FALSE))</f>
        <v/>
      </c>
      <c r="AE27" s="40" t="str">
        <f>IF($C27="","",VLOOKUP($C27,CTBat!$G$10:$BR$208,AE$4,FALSE))</f>
        <v/>
      </c>
      <c r="AF27" s="40" t="str">
        <f>IF($C27="","",VLOOKUP($C27,CTBat!$G$10:$BR$208,AF$4,FALSE))</f>
        <v/>
      </c>
      <c r="AG27" s="40" t="str">
        <f>IF($C27="","",VLOOKUP($C27,CTBat!$G$10:$BR$208,AG$4,FALSE))</f>
        <v/>
      </c>
      <c r="AH27" s="40" t="str">
        <f>IF($C27="","",VLOOKUP($C27,CTBat!$G$10:$BR$208,AH$4,FALSE))</f>
        <v/>
      </c>
      <c r="AI27" s="40" t="str">
        <f>IF($C27="","",VLOOKUP($C27,CTBat!$G$10:$BR$208,AI$4,FALSE))</f>
        <v/>
      </c>
      <c r="AJ27" s="42" t="str">
        <f>IF($C27="","",VLOOKUP($C27,CTBat!$G$10:$BR$208,AJ$4,FALSE))</f>
        <v/>
      </c>
      <c r="AK27" s="68" t="str">
        <f t="shared" si="95"/>
        <v/>
      </c>
      <c r="AL27" s="239" t="str">
        <f t="shared" si="82"/>
        <v/>
      </c>
      <c r="AM27" s="239" t="str">
        <f t="shared" si="83"/>
        <v/>
      </c>
      <c r="AN27" s="239" t="str">
        <f t="shared" si="84"/>
        <v/>
      </c>
      <c r="AO27" s="239" t="str">
        <f t="shared" si="85"/>
        <v/>
      </c>
      <c r="AP27" s="239" t="str">
        <f t="shared" si="86"/>
        <v/>
      </c>
      <c r="AQ27" s="239" t="str">
        <f t="shared" si="87"/>
        <v/>
      </c>
      <c r="AR27" s="239" t="str">
        <f t="shared" si="88"/>
        <v/>
      </c>
      <c r="AS27" s="239" t="str">
        <f t="shared" si="89"/>
        <v/>
      </c>
      <c r="AT27" s="239" t="str">
        <f t="shared" si="90"/>
        <v/>
      </c>
      <c r="AU27" s="59" t="str">
        <f>IF($C27="","",VLOOKUP($C27,CTBat!$G$10:$BR$208,AU$4,FALSE))</f>
        <v/>
      </c>
      <c r="AV27" s="40" t="str">
        <f>IF($C27="","",VLOOKUP($C27,CTBat!$G$10:$BR$208,AV$4,FALSE))</f>
        <v/>
      </c>
      <c r="AW27" s="40" t="str">
        <f>IF($C27="","",VLOOKUP($C27,CTBat!$G$10:$BR$208,AW$4,FALSE))</f>
        <v/>
      </c>
      <c r="AX27" s="40" t="str">
        <f>IF($C27="","",VLOOKUP($C27,CTBat!$G$10:$BR$208,AX$4,FALSE))</f>
        <v/>
      </c>
      <c r="AY27" s="42" t="str">
        <f>IF($C27="","",VLOOKUP($C27,CTBat!$G$10:$BR$208,AY$4,FALSE))</f>
        <v/>
      </c>
      <c r="AZ27" s="68" t="str">
        <f t="shared" si="91"/>
        <v/>
      </c>
    </row>
    <row r="29" spans="1:52" ht="196.5">
      <c r="A29" s="25" t="s">
        <v>196</v>
      </c>
      <c r="B29" s="236" t="s">
        <v>136</v>
      </c>
      <c r="C29" s="44" t="str">
        <f>"Player ("&amp;COUNTA(C30:C33)&amp;")"</f>
        <v>Player (3)</v>
      </c>
      <c r="D29" s="44" t="s">
        <v>94</v>
      </c>
      <c r="E29" s="44" t="s">
        <v>104</v>
      </c>
      <c r="F29" s="64" t="str">
        <f>"Strong C Arm ("&amp;SUM(F30:F33)&amp;")"</f>
        <v>Strong C Arm (3)</v>
      </c>
      <c r="G29" s="48" t="s">
        <v>41</v>
      </c>
      <c r="H29" s="48" t="s">
        <v>41</v>
      </c>
      <c r="I29" s="48" t="s">
        <v>41</v>
      </c>
      <c r="J29" s="55" t="s">
        <v>139</v>
      </c>
      <c r="K29" s="47" t="s">
        <v>137</v>
      </c>
      <c r="L29" s="56" t="s">
        <v>138</v>
      </c>
      <c r="M29" s="48" t="s">
        <v>95</v>
      </c>
      <c r="N29" s="48" t="s">
        <v>97</v>
      </c>
      <c r="O29" s="48" t="s">
        <v>98</v>
      </c>
      <c r="P29" s="48" t="s">
        <v>99</v>
      </c>
      <c r="Q29" s="48" t="s">
        <v>100</v>
      </c>
      <c r="R29" s="48" t="s">
        <v>101</v>
      </c>
      <c r="S29" s="48" t="s">
        <v>102</v>
      </c>
      <c r="T29" s="49" t="s">
        <v>103</v>
      </c>
      <c r="U29" s="45" t="s">
        <v>140</v>
      </c>
      <c r="V29" s="45" t="s">
        <v>184</v>
      </c>
      <c r="W29" s="45" t="s">
        <v>141</v>
      </c>
      <c r="X29" s="45" t="s">
        <v>142</v>
      </c>
      <c r="Y29" s="45" t="s">
        <v>143</v>
      </c>
      <c r="Z29" s="45" t="s">
        <v>144</v>
      </c>
      <c r="AA29" s="45" t="s">
        <v>145</v>
      </c>
      <c r="AB29" s="45" t="s">
        <v>147</v>
      </c>
      <c r="AC29" s="60" t="s">
        <v>146</v>
      </c>
      <c r="AD29" s="48" t="s">
        <v>150</v>
      </c>
      <c r="AE29" s="48" t="s">
        <v>151</v>
      </c>
      <c r="AF29" s="48" t="s">
        <v>152</v>
      </c>
      <c r="AG29" s="48" t="s">
        <v>153</v>
      </c>
      <c r="AH29" s="48" t="s">
        <v>29</v>
      </c>
      <c r="AI29" s="48" t="s">
        <v>154</v>
      </c>
      <c r="AJ29" s="49" t="s">
        <v>155</v>
      </c>
      <c r="AK29" s="66" t="s">
        <v>160</v>
      </c>
      <c r="AL29" s="45" t="s">
        <v>140</v>
      </c>
      <c r="AM29" s="45" t="s">
        <v>184</v>
      </c>
      <c r="AN29" s="45" t="s">
        <v>141</v>
      </c>
      <c r="AO29" s="45" t="s">
        <v>142</v>
      </c>
      <c r="AP29" s="45" t="s">
        <v>143</v>
      </c>
      <c r="AQ29" s="45" t="s">
        <v>144</v>
      </c>
      <c r="AR29" s="45" t="s">
        <v>145</v>
      </c>
      <c r="AS29" s="45" t="s">
        <v>147</v>
      </c>
      <c r="AT29" s="60" t="s">
        <v>146</v>
      </c>
      <c r="AU29" s="63" t="s">
        <v>150</v>
      </c>
      <c r="AV29" s="48" t="s">
        <v>151</v>
      </c>
      <c r="AW29" s="48" t="s">
        <v>152</v>
      </c>
      <c r="AX29" s="48" t="s">
        <v>153</v>
      </c>
      <c r="AY29" s="49" t="s">
        <v>29</v>
      </c>
      <c r="AZ29" s="66" t="s">
        <v>201</v>
      </c>
    </row>
    <row r="30" spans="1:52">
      <c r="A30">
        <v>1</v>
      </c>
      <c r="B30" s="36" t="s">
        <v>95</v>
      </c>
      <c r="C30" s="37" t="s">
        <v>630</v>
      </c>
      <c r="D30" s="37">
        <f>IF($C30="","",VLOOKUP($C30,CTBat!$G$10:$BR$208,D$4,FALSE))</f>
        <v>21</v>
      </c>
      <c r="E30" s="37" t="str">
        <f>IF($C30="","",VLOOKUP($C30,CTBat!$G$10:$BR$208,E$4,FALSE))</f>
        <v>R</v>
      </c>
      <c r="F30" s="53">
        <f>IF($C30="","",IF(J30&gt;5,1,0))</f>
        <v>1</v>
      </c>
      <c r="G30" s="241" t="str">
        <f t="shared" ref="G30:H33" si="144">IF($C30="","","-")</f>
        <v>-</v>
      </c>
      <c r="H30" s="241" t="str">
        <f t="shared" si="144"/>
        <v>-</v>
      </c>
      <c r="I30" s="241" t="str">
        <f>IF($C30="","","-")</f>
        <v>-</v>
      </c>
      <c r="J30" s="58">
        <f>IF($C30="","",VLOOKUP($C30,CTBat!$G$10:$BR$208,J$4,FALSE))</f>
        <v>8</v>
      </c>
      <c r="K30" s="37">
        <f>IF($C30="","",VLOOKUP($C30,CTBat!$G$10:$BR$208,K$4,FALSE))</f>
        <v>6</v>
      </c>
      <c r="L30" s="38">
        <f>IF($C30="","",VLOOKUP($C30,CTBat!$G$10:$BR$208,L$4,FALSE))</f>
        <v>6</v>
      </c>
      <c r="M30" s="37">
        <f>IF($C30="","",VLOOKUP($C30,CTBat!$G$10:$BR$208,M$4,FALSE))</f>
        <v>6</v>
      </c>
      <c r="N30" s="37" t="str">
        <f>IF($C30="","",VLOOKUP($C30,CTBat!$G$10:$BR$208,N$4,FALSE))</f>
        <v>-</v>
      </c>
      <c r="O30" s="37" t="str">
        <f>IF($C30="","",VLOOKUP($C30,CTBat!$G$10:$BR$208,O$4,FALSE))</f>
        <v>-</v>
      </c>
      <c r="P30" s="37" t="str">
        <f>IF($C30="","",VLOOKUP($C30,CTBat!$G$10:$BR$208,P$4,FALSE))</f>
        <v>-</v>
      </c>
      <c r="Q30" s="37" t="str">
        <f>IF($C30="","",VLOOKUP($C30,CTBat!$G$10:$BR$208,Q$4,FALSE))</f>
        <v>-</v>
      </c>
      <c r="R30" s="37" t="str">
        <f>IF($C30="","",VLOOKUP($C30,CTBat!$G$10:$BR$208,R$4,FALSE))</f>
        <v>-</v>
      </c>
      <c r="S30" s="37" t="str">
        <f>IF($C30="","",VLOOKUP($C30,CTBat!$G$10:$BR$208,S$4,FALSE))</f>
        <v>-</v>
      </c>
      <c r="T30" s="38" t="str">
        <f>IF($C30="","",VLOOKUP($C30,CTBat!$G$10:$BR$208,T$4,FALSE))</f>
        <v>-</v>
      </c>
      <c r="U30" s="241">
        <f t="shared" ref="U30:U33" si="145">IF($C30="","",IF(OR(AD30+AG30&gt;14,AND(OR(AD30+AG30&gt;12,AND(AD30&gt;6,AG30&gt;6)),AI30&gt;6,OR(AJ30&gt;=AI30,AJ30&gt;6))),1,0))</f>
        <v>0</v>
      </c>
      <c r="V30" s="241">
        <f t="shared" ref="V30:V33" si="146">IF($C30="","",IF(OR(AND(AD30&gt;6,AH30&gt;6),AD30+AG30&gt;12),1,0))</f>
        <v>0</v>
      </c>
      <c r="W30" s="241">
        <f t="shared" ref="W30:W33" si="147">IF($C30="","",IF(AND(AD30&gt;6,AF30&gt;6,AG30&gt;6),1,0))</f>
        <v>0</v>
      </c>
      <c r="X30" s="241">
        <f t="shared" ref="X30:X33" si="148">IF($C30="","",IF(AND(AF30&gt;7,OR(AD30&gt;6,AG30&gt;6)),1,0))</f>
        <v>0</v>
      </c>
      <c r="Y30" s="241">
        <f t="shared" ref="Y30:Y33" si="149">IF($C30="","",IF(AND(AF30&gt;6,OR(AD30&gt;6,AG30&gt;6)),1,0))</f>
        <v>0</v>
      </c>
      <c r="Z30" s="241">
        <f t="shared" ref="Z30:Z33" si="150">IF($C30="","",IF(AND(OR(AD30&gt;6,AF30&gt;6),OR(AD30&gt;6,AG30&gt;6)),1,0))</f>
        <v>0</v>
      </c>
      <c r="AA30" s="241">
        <f t="shared" ref="AA30:AA33" si="151">IF($C30="","",IF(AND(AD30&gt;4,OR(AD30&gt;6,AF30&gt;6,AG30&gt;6)),1,0))</f>
        <v>0</v>
      </c>
      <c r="AB30" s="241">
        <f t="shared" ref="AB30:AB33" si="152">IF($C30="","",IF(AND(AD30&gt;4,OR(AD30&gt;6,AE30&gt;6,AF30&gt;6,AG30&gt;6)),1,0))</f>
        <v>0</v>
      </c>
      <c r="AC30" s="242">
        <f t="shared" ref="AC30:AC33" si="153">IF($C30="","",IF(AND(AD30&gt;4,MAX(AD30:AH30)&gt;6),1,0))</f>
        <v>0</v>
      </c>
      <c r="AD30" s="37">
        <f>IF($C30="","",VLOOKUP($C30,CTBat!$G$10:$BR$208,AD$4,FALSE))</f>
        <v>3</v>
      </c>
      <c r="AE30" s="37">
        <f>IF($C30="","",VLOOKUP($C30,CTBat!$G$10:$BR$208,AE$4,FALSE))</f>
        <v>4</v>
      </c>
      <c r="AF30" s="37">
        <f>IF($C30="","",VLOOKUP($C30,CTBat!$G$10:$BR$208,AF$4,FALSE))</f>
        <v>2</v>
      </c>
      <c r="AG30" s="37">
        <f>IF($C30="","",VLOOKUP($C30,CTBat!$G$10:$BR$208,AG$4,FALSE))</f>
        <v>3</v>
      </c>
      <c r="AH30" s="37">
        <f>IF($C30="","",VLOOKUP($C30,CTBat!$G$10:$BR$208,AH$4,FALSE))</f>
        <v>2</v>
      </c>
      <c r="AI30" s="37">
        <f>IF($C30="","",VLOOKUP($C30,CTBat!$G$10:$BR$208,AI$4,FALSE))</f>
        <v>5</v>
      </c>
      <c r="AJ30" s="38">
        <f>IF($C30="","",VLOOKUP($C30,CTBat!$G$10:$BR$208,AJ$4,FALSE))</f>
        <v>4</v>
      </c>
      <c r="AK30" s="67">
        <f>IF($C30="","",(5*AD30+4*AF30+3*AG30+2*AE30+1*AH30+0.5*(AVERAGE(AD30:AE30))+0.5*AVERAGE(AD30,AH30)+1*(AVERAGE(AD30,AF30))+1*AVERAGE(AD30,AG30))/(5+4+3+2+1+0.5+0.5+1+1))</f>
        <v>2.8055555555555554</v>
      </c>
      <c r="AL30" s="241">
        <f t="shared" ref="AL30:AL33" si="154">IF($C30="","",IF(AND(OR(AU30+AX30&gt;12,AND(AU30&gt;6,AX30&gt;6)),AI30&gt;6,OR(AJ30&gt;=AI30,AJ30&gt;6)),1,0))</f>
        <v>0</v>
      </c>
      <c r="AM30" s="241">
        <f t="shared" ref="AM30:AM33" si="155">IF($C30="","",IF(OR(AND(AU30&gt;6,AY30&gt;6),AU30+AX30&gt;12),1,0))</f>
        <v>0</v>
      </c>
      <c r="AN30" s="241">
        <f t="shared" ref="AN30:AN33" si="156">IF($C30="","",IF(AND(AU30&gt;6,AW30&gt;6,AX30&gt;6),1,0))</f>
        <v>0</v>
      </c>
      <c r="AO30" s="241">
        <f t="shared" ref="AO30:AO33" si="157">IF($C30="","",IF(AND(AW30&gt;7,OR(AU30&gt;6,AX30&gt;6)),1,0))</f>
        <v>0</v>
      </c>
      <c r="AP30" s="241">
        <f t="shared" ref="AP30:AP33" si="158">IF($C30="","",IF(AND(AW30&gt;6,OR(AU30&gt;6,AX30&gt;6)),1,0))</f>
        <v>0</v>
      </c>
      <c r="AQ30" s="241">
        <f t="shared" ref="AQ30:AQ33" si="159">IF($C30="","",IF(AND(OR(AU30&gt;6,AW30&gt;6),OR(AU30&gt;6,AX30&gt;6)),1,0))</f>
        <v>0</v>
      </c>
      <c r="AR30" s="241">
        <f t="shared" ref="AR30:AR33" si="160">IF($C30="","",IF(AND(AU30&gt;4,OR(AU30&gt;6,AW30&gt;6,AX30&gt;6)),1,0))</f>
        <v>1</v>
      </c>
      <c r="AS30" s="241">
        <f t="shared" ref="AS30:AS33" si="161">IF($C30="","",IF(AND(AU30&gt;4,OR(AU30&gt;6,AV30&gt;6,AW30&gt;6,AX30&gt;6)),1,0))</f>
        <v>1</v>
      </c>
      <c r="AT30" s="242">
        <f t="shared" ref="AT30:AT33" si="162">IF($C30="","",IF(AND(AU30&gt;4,MAX(AU30:AY30)&gt;6),1,0))</f>
        <v>1</v>
      </c>
      <c r="AU30" s="58">
        <f>IF($C30="","",VLOOKUP($C30,CTBat!$G$10:$BR$208,AU$4,FALSE))</f>
        <v>5</v>
      </c>
      <c r="AV30" s="37">
        <f>IF($C30="","",VLOOKUP($C30,CTBat!$G$10:$BR$208,AV$4,FALSE))</f>
        <v>8</v>
      </c>
      <c r="AW30" s="37">
        <f>IF($C30="","",VLOOKUP($C30,CTBat!$G$10:$BR$208,AW$4,FALSE))</f>
        <v>7</v>
      </c>
      <c r="AX30" s="37">
        <f>IF($C30="","",VLOOKUP($C30,CTBat!$G$10:$BR$208,AX$4,FALSE))</f>
        <v>5</v>
      </c>
      <c r="AY30" s="38">
        <f>IF($C30="","",VLOOKUP($C30,CTBat!$G$10:$BR$208,AY$4,FALSE))</f>
        <v>5</v>
      </c>
      <c r="AZ30" s="67">
        <f t="shared" ref="AZ30:AZ33" si="163">IF($C30="","",(5*AU30+4*AW30+3*AX30+2*AV30+1*AY30+0.5*(AVERAGE(AU30:AV30))+0.5*AVERAGE(AU30,AY30)+1*(AVERAGE(AU30,AW30))+1*AVERAGE(AU30,AX30))/(5+4+3+2+1+0.5+0.5+1+1))</f>
        <v>5.875</v>
      </c>
    </row>
    <row r="31" spans="1:52">
      <c r="A31">
        <v>2</v>
      </c>
      <c r="B31" s="36" t="s">
        <v>104</v>
      </c>
      <c r="C31" s="37" t="s">
        <v>417</v>
      </c>
      <c r="D31" s="37">
        <f>IF($C31="","",VLOOKUP($C31,CTBat!$G$10:$BR$208,D$4,FALSE))</f>
        <v>20</v>
      </c>
      <c r="E31" s="37" t="str">
        <f>IF($C31="","",VLOOKUP($C31,CTBat!$G$10:$BR$208,E$4,FALSE))</f>
        <v>R</v>
      </c>
      <c r="F31" s="53">
        <f>IF($C31="","",IF(J31&gt;5,1,0))</f>
        <v>1</v>
      </c>
      <c r="G31" s="241" t="str">
        <f t="shared" si="144"/>
        <v>-</v>
      </c>
      <c r="H31" s="241" t="str">
        <f t="shared" si="144"/>
        <v>-</v>
      </c>
      <c r="I31" s="241" t="str">
        <f>IF($C31="","","-")</f>
        <v>-</v>
      </c>
      <c r="J31" s="58">
        <f>IF($C31="","",VLOOKUP($C31,CTBat!$G$10:$BR$208,J$4,FALSE))</f>
        <v>6</v>
      </c>
      <c r="K31" s="37">
        <f>IF($C31="","",VLOOKUP($C31,CTBat!$G$10:$BR$208,K$4,FALSE))</f>
        <v>5</v>
      </c>
      <c r="L31" s="38">
        <f>IF($C31="","",VLOOKUP($C31,CTBat!$G$10:$BR$208,L$4,FALSE))</f>
        <v>5</v>
      </c>
      <c r="M31" s="37">
        <f>IF($C31="","",VLOOKUP($C31,CTBat!$G$10:$BR$208,M$4,FALSE))</f>
        <v>4</v>
      </c>
      <c r="N31" s="37" t="str">
        <f>IF($C31="","",VLOOKUP($C31,CTBat!$G$10:$BR$208,N$4,FALSE))</f>
        <v>-</v>
      </c>
      <c r="O31" s="37" t="str">
        <f>IF($C31="","",VLOOKUP($C31,CTBat!$G$10:$BR$208,O$4,FALSE))</f>
        <v>-</v>
      </c>
      <c r="P31" s="37" t="str">
        <f>IF($C31="","",VLOOKUP($C31,CTBat!$G$10:$BR$208,P$4,FALSE))</f>
        <v>-</v>
      </c>
      <c r="Q31" s="37" t="str">
        <f>IF($C31="","",VLOOKUP($C31,CTBat!$G$10:$BR$208,Q$4,FALSE))</f>
        <v>-</v>
      </c>
      <c r="R31" s="37" t="str">
        <f>IF($C31="","",VLOOKUP($C31,CTBat!$G$10:$BR$208,R$4,FALSE))</f>
        <v>-</v>
      </c>
      <c r="S31" s="37" t="str">
        <f>IF($C31="","",VLOOKUP($C31,CTBat!$G$10:$BR$208,S$4,FALSE))</f>
        <v>-</v>
      </c>
      <c r="T31" s="38" t="str">
        <f>IF($C31="","",VLOOKUP($C31,CTBat!$G$10:$BR$208,T$4,FALSE))</f>
        <v>-</v>
      </c>
      <c r="U31" s="241">
        <f t="shared" si="145"/>
        <v>0</v>
      </c>
      <c r="V31" s="241">
        <f t="shared" si="146"/>
        <v>0</v>
      </c>
      <c r="W31" s="241">
        <f t="shared" si="147"/>
        <v>0</v>
      </c>
      <c r="X31" s="241">
        <f t="shared" si="148"/>
        <v>0</v>
      </c>
      <c r="Y31" s="241">
        <f t="shared" si="149"/>
        <v>0</v>
      </c>
      <c r="Z31" s="241">
        <f t="shared" si="150"/>
        <v>0</v>
      </c>
      <c r="AA31" s="241">
        <f t="shared" si="151"/>
        <v>0</v>
      </c>
      <c r="AB31" s="241">
        <f t="shared" si="152"/>
        <v>0</v>
      </c>
      <c r="AC31" s="242">
        <f t="shared" si="153"/>
        <v>0</v>
      </c>
      <c r="AD31" s="37">
        <f>IF($C31="","",VLOOKUP($C31,CTBat!$G$10:$BR$208,AD$4,FALSE))</f>
        <v>4</v>
      </c>
      <c r="AE31" s="37">
        <f>IF($C31="","",VLOOKUP($C31,CTBat!$G$10:$BR$208,AE$4,FALSE))</f>
        <v>3</v>
      </c>
      <c r="AF31" s="37">
        <f>IF($C31="","",VLOOKUP($C31,CTBat!$G$10:$BR$208,AF$4,FALSE))</f>
        <v>3</v>
      </c>
      <c r="AG31" s="37">
        <f>IF($C31="","",VLOOKUP($C31,CTBat!$G$10:$BR$208,AG$4,FALSE))</f>
        <v>3</v>
      </c>
      <c r="AH31" s="37">
        <f>IF($C31="","",VLOOKUP($C31,CTBat!$G$10:$BR$208,AH$4,FALSE))</f>
        <v>4</v>
      </c>
      <c r="AI31" s="37">
        <f>IF($C31="","",VLOOKUP($C31,CTBat!$G$10:$BR$208,AI$4,FALSE))</f>
        <v>1</v>
      </c>
      <c r="AJ31" s="38">
        <f>IF($C31="","",VLOOKUP($C31,CTBat!$G$10:$BR$208,AJ$4,FALSE))</f>
        <v>1</v>
      </c>
      <c r="AK31" s="67">
        <f t="shared" ref="AK31:AK33" si="164">IF($C31="","",(5*AD31+4*AF31+3*AG31+2*AE31+1*AH31+0.5*(AVERAGE(AD31:AE31))+0.5*AVERAGE(AD31,AH31)+1*(AVERAGE(AD31,AF31))+1*AVERAGE(AD31,AG31))/(5+4+3+2+1+0.5+0.5+1+1))</f>
        <v>3.4305555555555554</v>
      </c>
      <c r="AL31" s="241">
        <f t="shared" si="154"/>
        <v>0</v>
      </c>
      <c r="AM31" s="241">
        <f t="shared" si="155"/>
        <v>0</v>
      </c>
      <c r="AN31" s="241">
        <f t="shared" si="156"/>
        <v>0</v>
      </c>
      <c r="AO31" s="241">
        <f t="shared" si="157"/>
        <v>0</v>
      </c>
      <c r="AP31" s="241">
        <f t="shared" si="158"/>
        <v>0</v>
      </c>
      <c r="AQ31" s="241">
        <f t="shared" si="159"/>
        <v>0</v>
      </c>
      <c r="AR31" s="241">
        <f t="shared" si="160"/>
        <v>0</v>
      </c>
      <c r="AS31" s="241">
        <f t="shared" si="161"/>
        <v>0</v>
      </c>
      <c r="AT31" s="242">
        <f t="shared" si="162"/>
        <v>0</v>
      </c>
      <c r="AU31" s="58">
        <f>IF($C31="","",VLOOKUP($C31,CTBat!$G$10:$BR$208,AU$4,FALSE))</f>
        <v>4</v>
      </c>
      <c r="AV31" s="37">
        <f>IF($C31="","",VLOOKUP($C31,CTBat!$G$10:$BR$208,AV$4,FALSE))</f>
        <v>4</v>
      </c>
      <c r="AW31" s="37">
        <f>IF($C31="","",VLOOKUP($C31,CTBat!$G$10:$BR$208,AW$4,FALSE))</f>
        <v>6</v>
      </c>
      <c r="AX31" s="37">
        <f>IF($C31="","",VLOOKUP($C31,CTBat!$G$10:$BR$208,AX$4,FALSE))</f>
        <v>4</v>
      </c>
      <c r="AY31" s="38">
        <f>IF($C31="","",VLOOKUP($C31,CTBat!$G$10:$BR$208,AY$4,FALSE))</f>
        <v>5</v>
      </c>
      <c r="AZ31" s="67">
        <f t="shared" si="163"/>
        <v>4.5694444444444446</v>
      </c>
    </row>
    <row r="32" spans="1:52">
      <c r="A32">
        <v>3</v>
      </c>
      <c r="B32" s="36" t="s">
        <v>104</v>
      </c>
      <c r="C32" s="37" t="s">
        <v>418</v>
      </c>
      <c r="D32" s="37">
        <f>IF($C32="","",VLOOKUP($C32,CTBat!$G$10:$BR$208,D$4,FALSE))</f>
        <v>19</v>
      </c>
      <c r="E32" s="37" t="str">
        <f>IF($C32="","",VLOOKUP($C32,CTBat!$G$10:$BR$208,E$4,FALSE))</f>
        <v>R</v>
      </c>
      <c r="F32" s="53">
        <f>IF($C32="","",IF(J32&gt;5,1,0))</f>
        <v>1</v>
      </c>
      <c r="G32" s="288" t="str">
        <f t="shared" si="144"/>
        <v>-</v>
      </c>
      <c r="H32" s="288" t="str">
        <f t="shared" si="144"/>
        <v>-</v>
      </c>
      <c r="I32" s="288" t="str">
        <f>IF($C32="","","-")</f>
        <v>-</v>
      </c>
      <c r="J32" s="58">
        <f>IF($C32="","",VLOOKUP($C32,CTBat!$G$10:$BR$208,J$4,FALSE))</f>
        <v>7</v>
      </c>
      <c r="K32" s="37">
        <f>IF($C32="","",VLOOKUP($C32,CTBat!$G$10:$BR$208,K$4,FALSE))</f>
        <v>5</v>
      </c>
      <c r="L32" s="38">
        <f>IF($C32="","",VLOOKUP($C32,CTBat!$G$10:$BR$208,L$4,FALSE))</f>
        <v>5</v>
      </c>
      <c r="M32" s="37">
        <f>IF($C32="","",VLOOKUP($C32,CTBat!$G$10:$BR$208,M$4,FALSE))</f>
        <v>3</v>
      </c>
      <c r="N32" s="37" t="str">
        <f>IF($C32="","",VLOOKUP($C32,CTBat!$G$10:$BR$208,N$4,FALSE))</f>
        <v>-</v>
      </c>
      <c r="O32" s="37" t="str">
        <f>IF($C32="","",VLOOKUP($C32,CTBat!$G$10:$BR$208,O$4,FALSE))</f>
        <v>-</v>
      </c>
      <c r="P32" s="37" t="str">
        <f>IF($C32="","",VLOOKUP($C32,CTBat!$G$10:$BR$208,P$4,FALSE))</f>
        <v>-</v>
      </c>
      <c r="Q32" s="37" t="str">
        <f>IF($C32="","",VLOOKUP($C32,CTBat!$G$10:$BR$208,Q$4,FALSE))</f>
        <v>-</v>
      </c>
      <c r="R32" s="37" t="str">
        <f>IF($C32="","",VLOOKUP($C32,CTBat!$G$10:$BR$208,R$4,FALSE))</f>
        <v>-</v>
      </c>
      <c r="S32" s="37" t="str">
        <f>IF($C32="","",VLOOKUP($C32,CTBat!$G$10:$BR$208,S$4,FALSE))</f>
        <v>-</v>
      </c>
      <c r="T32" s="38" t="str">
        <f>IF($C32="","",VLOOKUP($C32,CTBat!$G$10:$BR$208,T$4,FALSE))</f>
        <v>-</v>
      </c>
      <c r="U32" s="288">
        <f t="shared" ref="U32" si="165">IF($C32="","",IF(OR(AD32+AG32&gt;14,AND(OR(AD32+AG32&gt;12,AND(AD32&gt;6,AG32&gt;6)),AI32&gt;6,OR(AJ32&gt;=AI32,AJ32&gt;6))),1,0))</f>
        <v>0</v>
      </c>
      <c r="V32" s="288">
        <f t="shared" ref="V32" si="166">IF($C32="","",IF(OR(AND(AD32&gt;6,AH32&gt;6),AD32+AG32&gt;12),1,0))</f>
        <v>0</v>
      </c>
      <c r="W32" s="288">
        <f t="shared" ref="W32" si="167">IF($C32="","",IF(AND(AD32&gt;6,AF32&gt;6,AG32&gt;6),1,0))</f>
        <v>0</v>
      </c>
      <c r="X32" s="288">
        <f t="shared" ref="X32" si="168">IF($C32="","",IF(AND(AF32&gt;7,OR(AD32&gt;6,AG32&gt;6)),1,0))</f>
        <v>0</v>
      </c>
      <c r="Y32" s="288">
        <f t="shared" ref="Y32" si="169">IF($C32="","",IF(AND(AF32&gt;6,OR(AD32&gt;6,AG32&gt;6)),1,0))</f>
        <v>0</v>
      </c>
      <c r="Z32" s="288">
        <f t="shared" ref="Z32" si="170">IF($C32="","",IF(AND(OR(AD32&gt;6,AF32&gt;6),OR(AD32&gt;6,AG32&gt;6)),1,0))</f>
        <v>0</v>
      </c>
      <c r="AA32" s="288">
        <f t="shared" ref="AA32" si="171">IF($C32="","",IF(AND(AD32&gt;4,OR(AD32&gt;6,AF32&gt;6,AG32&gt;6)),1,0))</f>
        <v>0</v>
      </c>
      <c r="AB32" s="288">
        <f t="shared" ref="AB32" si="172">IF($C32="","",IF(AND(AD32&gt;4,OR(AD32&gt;6,AE32&gt;6,AF32&gt;6,AG32&gt;6)),1,0))</f>
        <v>0</v>
      </c>
      <c r="AC32" s="289">
        <f t="shared" ref="AC32" si="173">IF($C32="","",IF(AND(AD32&gt;4,MAX(AD32:AH32)&gt;6),1,0))</f>
        <v>0</v>
      </c>
      <c r="AD32" s="37">
        <f>IF($C32="","",VLOOKUP($C32,CTBat!$G$10:$BR$208,AD$4,FALSE))</f>
        <v>2</v>
      </c>
      <c r="AE32" s="37">
        <f>IF($C32="","",VLOOKUP($C32,CTBat!$G$10:$BR$208,AE$4,FALSE))</f>
        <v>3</v>
      </c>
      <c r="AF32" s="37">
        <f>IF($C32="","",VLOOKUP($C32,CTBat!$G$10:$BR$208,AF$4,FALSE))</f>
        <v>2</v>
      </c>
      <c r="AG32" s="37">
        <f>IF($C32="","",VLOOKUP($C32,CTBat!$G$10:$BR$208,AG$4,FALSE))</f>
        <v>2</v>
      </c>
      <c r="AH32" s="37">
        <f>IF($C32="","",VLOOKUP($C32,CTBat!$G$10:$BR$208,AH$4,FALSE))</f>
        <v>1</v>
      </c>
      <c r="AI32" s="37">
        <f>IF($C32="","",VLOOKUP($C32,CTBat!$G$10:$BR$208,AI$4,FALSE))</f>
        <v>2</v>
      </c>
      <c r="AJ32" s="38">
        <f>IF($C32="","",VLOOKUP($C32,CTBat!$G$10:$BR$208,AJ$4,FALSE))</f>
        <v>1</v>
      </c>
      <c r="AK32" s="67">
        <f t="shared" ref="AK32" si="174">IF($C32="","",(5*AD32+4*AF32+3*AG32+2*AE32+1*AH32+0.5*(AVERAGE(AD32:AE32))+0.5*AVERAGE(AD32,AH32)+1*(AVERAGE(AD32,AF32))+1*AVERAGE(AD32,AG32))/(5+4+3+2+1+0.5+0.5+1+1))</f>
        <v>2.0555555555555554</v>
      </c>
      <c r="AL32" s="288">
        <f t="shared" ref="AL32" si="175">IF($C32="","",IF(AND(OR(AU32+AX32&gt;12,AND(AU32&gt;6,AX32&gt;6)),AI32&gt;6,OR(AJ32&gt;=AI32,AJ32&gt;6)),1,0))</f>
        <v>0</v>
      </c>
      <c r="AM32" s="288">
        <f t="shared" ref="AM32" si="176">IF($C32="","",IF(OR(AND(AU32&gt;6,AY32&gt;6),AU32+AX32&gt;12),1,0))</f>
        <v>0</v>
      </c>
      <c r="AN32" s="288">
        <f t="shared" ref="AN32" si="177">IF($C32="","",IF(AND(AU32&gt;6,AW32&gt;6,AX32&gt;6),1,0))</f>
        <v>0</v>
      </c>
      <c r="AO32" s="288">
        <f t="shared" ref="AO32" si="178">IF($C32="","",IF(AND(AW32&gt;7,OR(AU32&gt;6,AX32&gt;6)),1,0))</f>
        <v>0</v>
      </c>
      <c r="AP32" s="288">
        <f t="shared" ref="AP32" si="179">IF($C32="","",IF(AND(AW32&gt;6,OR(AU32&gt;6,AX32&gt;6)),1,0))</f>
        <v>0</v>
      </c>
      <c r="AQ32" s="288">
        <f t="shared" ref="AQ32" si="180">IF($C32="","",IF(AND(OR(AU32&gt;6,AW32&gt;6),OR(AU32&gt;6,AX32&gt;6)),1,0))</f>
        <v>0</v>
      </c>
      <c r="AR32" s="288">
        <f t="shared" ref="AR32" si="181">IF($C32="","",IF(AND(AU32&gt;4,OR(AU32&gt;6,AW32&gt;6,AX32&gt;6)),1,0))</f>
        <v>0</v>
      </c>
      <c r="AS32" s="288">
        <f t="shared" ref="AS32" si="182">IF($C32="","",IF(AND(AU32&gt;4,OR(AU32&gt;6,AV32&gt;6,AW32&gt;6,AX32&gt;6)),1,0))</f>
        <v>0</v>
      </c>
      <c r="AT32" s="289">
        <f t="shared" ref="AT32" si="183">IF($C32="","",IF(AND(AU32&gt;4,MAX(AU32:AY32)&gt;6),1,0))</f>
        <v>0</v>
      </c>
      <c r="AU32" s="58">
        <f>IF($C32="","",VLOOKUP($C32,CTBat!$G$10:$BR$208,AU$4,FALSE))</f>
        <v>2</v>
      </c>
      <c r="AV32" s="37">
        <f>IF($C32="","",VLOOKUP($C32,CTBat!$G$10:$BR$208,AV$4,FALSE))</f>
        <v>3</v>
      </c>
      <c r="AW32" s="37">
        <f>IF($C32="","",VLOOKUP($C32,CTBat!$G$10:$BR$208,AW$4,FALSE))</f>
        <v>3</v>
      </c>
      <c r="AX32" s="37">
        <f>IF($C32="","",VLOOKUP($C32,CTBat!$G$10:$BR$208,AX$4,FALSE))</f>
        <v>2</v>
      </c>
      <c r="AY32" s="38">
        <f>IF($C32="","",VLOOKUP($C32,CTBat!$G$10:$BR$208,AY$4,FALSE))</f>
        <v>4</v>
      </c>
      <c r="AZ32" s="67">
        <f t="shared" ref="AZ32" si="184">IF($C32="","",(5*AU32+4*AW32+3*AX32+2*AV32+1*AY32+0.5*(AVERAGE(AU32:AV32))+0.5*AVERAGE(AU32,AY32)+1*(AVERAGE(AU32,AW32))+1*AVERAGE(AU32,AX32))/(5+4+3+2+1+0.5+0.5+1+1))</f>
        <v>2.5138888888888888</v>
      </c>
    </row>
    <row r="33" spans="1:52">
      <c r="A33">
        <v>4</v>
      </c>
      <c r="B33" s="39" t="s">
        <v>104</v>
      </c>
      <c r="C33" s="40"/>
      <c r="D33" s="40" t="str">
        <f>IF($C33="","",VLOOKUP($C33,CTBat!$G$10:$BR$208,D$4,FALSE))</f>
        <v/>
      </c>
      <c r="E33" s="40" t="str">
        <f>IF($C33="","",VLOOKUP($C33,CTBat!$G$10:$BR$208,E$4,FALSE))</f>
        <v/>
      </c>
      <c r="F33" s="54" t="str">
        <f>IF($C33="","",IF(J33&gt;5,1,0))</f>
        <v/>
      </c>
      <c r="G33" s="239" t="str">
        <f t="shared" si="144"/>
        <v/>
      </c>
      <c r="H33" s="239" t="str">
        <f t="shared" si="144"/>
        <v/>
      </c>
      <c r="I33" s="239" t="str">
        <f>IF($C33="","","-")</f>
        <v/>
      </c>
      <c r="J33" s="59" t="str">
        <f>IF($C33="","",VLOOKUP($C33,CTBat!$G$10:$BR$208,J$4,FALSE))</f>
        <v/>
      </c>
      <c r="K33" s="40" t="str">
        <f>IF($C33="","",VLOOKUP($C33,CTBat!$G$10:$BR$208,K$4,FALSE))</f>
        <v/>
      </c>
      <c r="L33" s="42" t="str">
        <f>IF($C33="","",VLOOKUP($C33,CTBat!$G$10:$BR$208,L$4,FALSE))</f>
        <v/>
      </c>
      <c r="M33" s="40" t="str">
        <f>IF($C33="","",VLOOKUP($C33,CTBat!$G$10:$BR$208,M$4,FALSE))</f>
        <v/>
      </c>
      <c r="N33" s="40" t="str">
        <f>IF($C33="","",VLOOKUP($C33,CTBat!$G$10:$BR$208,N$4,FALSE))</f>
        <v/>
      </c>
      <c r="O33" s="40" t="str">
        <f>IF($C33="","",VLOOKUP($C33,CTBat!$G$10:$BR$208,O$4,FALSE))</f>
        <v/>
      </c>
      <c r="P33" s="40" t="str">
        <f>IF($C33="","",VLOOKUP($C33,CTBat!$G$10:$BR$208,P$4,FALSE))</f>
        <v/>
      </c>
      <c r="Q33" s="40" t="str">
        <f>IF($C33="","",VLOOKUP($C33,CTBat!$G$10:$BR$208,Q$4,FALSE))</f>
        <v/>
      </c>
      <c r="R33" s="40" t="str">
        <f>IF($C33="","",VLOOKUP($C33,CTBat!$G$10:$BR$208,R$4,FALSE))</f>
        <v/>
      </c>
      <c r="S33" s="40" t="str">
        <f>IF($C33="","",VLOOKUP($C33,CTBat!$G$10:$BR$208,S$4,FALSE))</f>
        <v/>
      </c>
      <c r="T33" s="42" t="str">
        <f>IF($C33="","",VLOOKUP($C33,CTBat!$G$10:$BR$208,T$4,FALSE))</f>
        <v/>
      </c>
      <c r="U33" s="239" t="str">
        <f t="shared" si="145"/>
        <v/>
      </c>
      <c r="V33" s="239" t="str">
        <f t="shared" si="146"/>
        <v/>
      </c>
      <c r="W33" s="239" t="str">
        <f t="shared" si="147"/>
        <v/>
      </c>
      <c r="X33" s="239" t="str">
        <f t="shared" si="148"/>
        <v/>
      </c>
      <c r="Y33" s="239" t="str">
        <f t="shared" si="149"/>
        <v/>
      </c>
      <c r="Z33" s="239" t="str">
        <f t="shared" si="150"/>
        <v/>
      </c>
      <c r="AA33" s="239" t="str">
        <f t="shared" si="151"/>
        <v/>
      </c>
      <c r="AB33" s="239" t="str">
        <f t="shared" si="152"/>
        <v/>
      </c>
      <c r="AC33" s="240" t="str">
        <f t="shared" si="153"/>
        <v/>
      </c>
      <c r="AD33" s="40" t="str">
        <f>IF($C33="","",VLOOKUP($C33,CTBat!$G$10:$BR$208,AD$4,FALSE))</f>
        <v/>
      </c>
      <c r="AE33" s="40" t="str">
        <f>IF($C33="","",VLOOKUP($C33,CTBat!$G$10:$BR$208,AE$4,FALSE))</f>
        <v/>
      </c>
      <c r="AF33" s="40" t="str">
        <f>IF($C33="","",VLOOKUP($C33,CTBat!$G$10:$BR$208,AF$4,FALSE))</f>
        <v/>
      </c>
      <c r="AG33" s="40" t="str">
        <f>IF($C33="","",VLOOKUP($C33,CTBat!$G$10:$BR$208,AG$4,FALSE))</f>
        <v/>
      </c>
      <c r="AH33" s="40" t="str">
        <f>IF($C33="","",VLOOKUP($C33,CTBat!$G$10:$BR$208,AH$4,FALSE))</f>
        <v/>
      </c>
      <c r="AI33" s="40" t="str">
        <f>IF($C33="","",VLOOKUP($C33,CTBat!$G$10:$BR$208,AI$4,FALSE))</f>
        <v/>
      </c>
      <c r="AJ33" s="42" t="str">
        <f>IF($C33="","",VLOOKUP($C33,CTBat!$G$10:$BR$208,AJ$4,FALSE))</f>
        <v/>
      </c>
      <c r="AK33" s="68" t="str">
        <f t="shared" si="164"/>
        <v/>
      </c>
      <c r="AL33" s="239" t="str">
        <f t="shared" si="154"/>
        <v/>
      </c>
      <c r="AM33" s="239" t="str">
        <f t="shared" si="155"/>
        <v/>
      </c>
      <c r="AN33" s="239" t="str">
        <f t="shared" si="156"/>
        <v/>
      </c>
      <c r="AO33" s="239" t="str">
        <f t="shared" si="157"/>
        <v/>
      </c>
      <c r="AP33" s="239" t="str">
        <f t="shared" si="158"/>
        <v/>
      </c>
      <c r="AQ33" s="239" t="str">
        <f t="shared" si="159"/>
        <v/>
      </c>
      <c r="AR33" s="239" t="str">
        <f t="shared" si="160"/>
        <v/>
      </c>
      <c r="AS33" s="239" t="str">
        <f t="shared" si="161"/>
        <v/>
      </c>
      <c r="AT33" s="240" t="str">
        <f t="shared" si="162"/>
        <v/>
      </c>
      <c r="AU33" s="59" t="str">
        <f>IF($C33="","",VLOOKUP($C33,CTBat!$G$10:$BR$208,AU$4,FALSE))</f>
        <v/>
      </c>
      <c r="AV33" s="40" t="str">
        <f>IF($C33="","",VLOOKUP($C33,CTBat!$G$10:$BR$208,AV$4,FALSE))</f>
        <v/>
      </c>
      <c r="AW33" s="40" t="str">
        <f>IF($C33="","",VLOOKUP($C33,CTBat!$G$10:$BR$208,AW$4,FALSE))</f>
        <v/>
      </c>
      <c r="AX33" s="40" t="str">
        <f>IF($C33="","",VLOOKUP($C33,CTBat!$G$10:$BR$208,AX$4,FALSE))</f>
        <v/>
      </c>
      <c r="AY33" s="42" t="str">
        <f>IF($C33="","",VLOOKUP($C33,CTBat!$G$10:$BR$208,AY$4,FALSE))</f>
        <v/>
      </c>
      <c r="AZ33" s="68" t="str">
        <f t="shared" si="163"/>
        <v/>
      </c>
    </row>
    <row r="35" spans="1:52" s="1" customFormat="1">
      <c r="B35" s="236" t="s">
        <v>158</v>
      </c>
      <c r="C35" s="44" t="s">
        <v>121</v>
      </c>
      <c r="D35" s="44" t="s">
        <v>122</v>
      </c>
      <c r="E35" s="50" t="s">
        <v>104</v>
      </c>
      <c r="F35" s="237" t="s">
        <v>159</v>
      </c>
      <c r="G35" s="237" t="s">
        <v>163</v>
      </c>
      <c r="H35" s="238" t="s">
        <v>161</v>
      </c>
      <c r="I35" s="88" t="s">
        <v>185</v>
      </c>
      <c r="J35" s="236" t="s">
        <v>95</v>
      </c>
      <c r="K35" s="237" t="s">
        <v>148</v>
      </c>
      <c r="L35" s="237" t="s">
        <v>149</v>
      </c>
      <c r="M35" s="237" t="s">
        <v>208</v>
      </c>
      <c r="N35" s="237" t="s">
        <v>96</v>
      </c>
      <c r="O35" s="236" t="s">
        <v>209</v>
      </c>
      <c r="P35" s="238" t="s">
        <v>210</v>
      </c>
      <c r="Q35" s="236" t="s">
        <v>218</v>
      </c>
      <c r="R35" s="87" t="s">
        <v>236</v>
      </c>
      <c r="T35" s="236" t="s">
        <v>122</v>
      </c>
      <c r="U35" s="236" t="s">
        <v>219</v>
      </c>
      <c r="V35" s="238" t="s">
        <v>243</v>
      </c>
      <c r="W35" s="237" t="s">
        <v>218</v>
      </c>
      <c r="X35" s="238" t="s">
        <v>236</v>
      </c>
      <c r="AG35" s="290" t="s">
        <v>361</v>
      </c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2"/>
    </row>
    <row r="36" spans="1:52">
      <c r="B36" s="36">
        <v>1</v>
      </c>
      <c r="C36" s="57"/>
      <c r="D36" s="33" t="s">
        <v>102</v>
      </c>
      <c r="E36" s="38" t="str">
        <f>IF($C36="","",VLOOKUP($C36,$C$6:$AK$33,$E$4-2,FALSE))</f>
        <v/>
      </c>
      <c r="F36" s="241" t="str">
        <f>IF($C36="","",VLOOKUP($C36,$C$6:$AK$33,18+$B36,FALSE))</f>
        <v/>
      </c>
      <c r="G36" s="241" t="str">
        <f>IF($C36="","",IF(VLOOKUP($C36,$C$6:$AK$33,18+3,FALSE)=1,3,IF(VLOOKUP($C36,$C$6:$AK$33,18+4,FALSE)=1,4,IF(VLOOKUP($C36,$C$6:$AK$33,18+1,FALSE)=1,1,IF(VLOOKUP($C36,$C$6:$AK$33,18+5,FALSE)=1,5,IF(VLOOKUP($C36,$C$6:$AK$33,18+2,FALSE)=1,2,IF(VLOOKUP($C36,$C$6:$AK$33,18+6,FALSE)=1,6,IF(VLOOKUP($C36,$C$6:$AK$33,18+7,FALSE)=1,7,IF(VLOOKUP($C36,$C$6:$AK$33,18+8,FALSE)=1,8,9)))))))))</f>
        <v/>
      </c>
      <c r="H36" s="8" t="str">
        <f>IF($C36="","",VLOOKUP($C36,$C$6:$AK$33,35,FALSE))</f>
        <v/>
      </c>
      <c r="I36" s="89">
        <v>3</v>
      </c>
      <c r="J36" s="53" t="str">
        <f>IF($C36="","",VLOOKUP($C36,$C$6:$AZ$33,17+AD$4,FALSE))</f>
        <v/>
      </c>
      <c r="K36" s="241" t="str">
        <f>IF($C36="","",VLOOKUP($C36,$C$6:$AZ$33,17+AE$4,FALSE))</f>
        <v/>
      </c>
      <c r="L36" s="241" t="str">
        <f>IF($C36="","",VLOOKUP($C36,$C$6:$AZ$33,17+AF$4,FALSE))</f>
        <v/>
      </c>
      <c r="M36" s="241" t="str">
        <f>IF($C36="","",VLOOKUP($C36,$C$6:$AZ$33,17+AG$4,FALSE))</f>
        <v/>
      </c>
      <c r="N36" s="241" t="str">
        <f>IF($C36="","",VLOOKUP($C36,$C$6:$AZ$33,17+AH$4,FALSE))</f>
        <v/>
      </c>
      <c r="O36" s="53" t="str">
        <f>IF($C36="","",VLOOKUP($C36,$C$6:$AZ$33,1+AI$4,FALSE))</f>
        <v/>
      </c>
      <c r="P36" s="242" t="str">
        <f>IF($C36="","",VLOOKUP($C36,$C$6:$AZ$33,1+AJ$4,FALSE))</f>
        <v/>
      </c>
      <c r="Q36" s="117" t="str">
        <f>IF($C36="","",IF($D36="DH","-",VLOOKUP($C36,$C$5:$AZ$33,9+VLOOKUP($D36,$T$35:$U$43,2,FALSE),FALSE)))</f>
        <v/>
      </c>
      <c r="R36" s="102" t="str">
        <f>IF($C36="","",IF($D36="DH","-",VLOOKUP($C36,$C$5:$AZ$33,VLOOKUP($D36,$T$35:$V$43,3,FALSE),FALSE)))</f>
        <v/>
      </c>
      <c r="T36" s="53" t="s">
        <v>95</v>
      </c>
      <c r="U36" s="53">
        <v>2</v>
      </c>
      <c r="V36" s="242">
        <v>8</v>
      </c>
      <c r="W36" s="241" t="str">
        <f>VLOOKUP($T36,$D$35:$R$44,14,FALSE)</f>
        <v/>
      </c>
      <c r="X36" s="242" t="str">
        <f>VLOOKUP($T36,$D$35:$R$44,15,FALSE)</f>
        <v/>
      </c>
      <c r="AG36" s="202">
        <v>1</v>
      </c>
      <c r="AH36" s="295" t="s">
        <v>356</v>
      </c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6"/>
    </row>
    <row r="37" spans="1:52">
      <c r="B37" s="36">
        <v>2</v>
      </c>
      <c r="C37" s="58"/>
      <c r="D37" s="37" t="s">
        <v>18</v>
      </c>
      <c r="E37" s="38" t="str">
        <f>IF($C37="","",VLOOKUP($C37,$C$6:$AK$33,$E$4-2,FALSE))</f>
        <v/>
      </c>
      <c r="F37" s="241" t="str">
        <f>IF($C37="","",VLOOKUP($C37,$C$6:$AK$33,18+$B37,FALSE))</f>
        <v/>
      </c>
      <c r="G37" s="241" t="str">
        <f>IF($C37="","",IF(VLOOKUP($C37,$C$6:$AK$33,18+3,FALSE)=1,3,IF(VLOOKUP($C37,$C$6:$AK$33,18+4,FALSE)=1,4,IF(VLOOKUP($C37,$C$6:$AK$33,18+1,FALSE)=1,1,IF(VLOOKUP($C37,$C$6:$AK$33,18+5,FALSE)=1,5,IF(VLOOKUP($C37,$C$6:$AK$33,18+2,FALSE)=1,2,IF(VLOOKUP($C37,$C$6:$AK$33,18+6,FALSE)=1,6,IF(VLOOKUP($C37,$C$6:$AK$33,18+7,FALSE)=1,7,IF(VLOOKUP($C37,$C$6:$AK$33,18+8,FALSE)=1,8,9)))))))))</f>
        <v/>
      </c>
      <c r="H37" s="8" t="str">
        <f>IF($C37="","",VLOOKUP($C37,$C$6:$AK$33,35,FALSE))</f>
        <v/>
      </c>
      <c r="I37" s="89">
        <v>5</v>
      </c>
      <c r="J37" s="53" t="str">
        <f>IF($C37="","",VLOOKUP($C37,$C$6:$AZ$33,17+AD$4,FALSE))</f>
        <v/>
      </c>
      <c r="K37" s="241" t="str">
        <f>IF($C37="","",VLOOKUP($C37,$C$6:$AZ$33,17+AE$4,FALSE))</f>
        <v/>
      </c>
      <c r="L37" s="241" t="str">
        <f>IF($C37="","",VLOOKUP($C37,$C$6:$AZ$33,17+AF$4,FALSE))</f>
        <v/>
      </c>
      <c r="M37" s="241" t="str">
        <f>IF($C37="","",VLOOKUP($C37,$C$6:$AZ$33,17+AG$4,FALSE))</f>
        <v/>
      </c>
      <c r="N37" s="241" t="str">
        <f>IF($C37="","",VLOOKUP($C37,$C$6:$AZ$33,17+AH$4,FALSE))</f>
        <v/>
      </c>
      <c r="O37" s="53" t="str">
        <f>IF($C37="","",VLOOKUP($C37,$C$6:$AZ$33,1+AI$4,FALSE))</f>
        <v/>
      </c>
      <c r="P37" s="242" t="str">
        <f>IF($C37="","",VLOOKUP($C37,$C$6:$AZ$33,1+AJ$4,FALSE))</f>
        <v/>
      </c>
      <c r="Q37" s="118" t="str">
        <f>IF($C37="","",IF($D37="DH","-",VLOOKUP($C37,$C$5:$AZ$33,9+VLOOKUP($D37,$T$35:$U$43,2,FALSE),FALSE)))</f>
        <v/>
      </c>
      <c r="R37" s="102" t="str">
        <f>IF($C37="","",IF($D37="DH","-",VLOOKUP($C37,$C$5:$AZ$33,VLOOKUP($D37,$T$35:$V$43,3,FALSE),FALSE)))</f>
        <v/>
      </c>
      <c r="T37" s="53" t="s">
        <v>97</v>
      </c>
      <c r="U37" s="53">
        <v>3</v>
      </c>
      <c r="V37" s="242">
        <v>9</v>
      </c>
      <c r="W37" s="241" t="str">
        <f t="shared" ref="W37:W43" si="185">VLOOKUP($T37,$D$35:$R$44,14,FALSE)</f>
        <v/>
      </c>
      <c r="X37" s="242" t="str">
        <f t="shared" ref="X37:X43" si="186">VLOOKUP($T37,$D$35:$R$44,15,FALSE)</f>
        <v/>
      </c>
      <c r="AG37" s="77">
        <v>2</v>
      </c>
      <c r="AH37" s="295" t="s">
        <v>357</v>
      </c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6"/>
    </row>
    <row r="38" spans="1:52">
      <c r="B38" s="36">
        <v>3</v>
      </c>
      <c r="C38" s="58"/>
      <c r="D38" s="37" t="s">
        <v>100</v>
      </c>
      <c r="E38" s="38" t="str">
        <f>IF($C38="","",VLOOKUP($C38,$C$6:$AK$33,$E$4-2,FALSE))</f>
        <v/>
      </c>
      <c r="F38" s="241" t="str">
        <f>IF($C38="","",VLOOKUP($C38,$C$6:$AK$33,18+$B38,FALSE))</f>
        <v/>
      </c>
      <c r="G38" s="241" t="str">
        <f>IF($C38="","",IF(VLOOKUP($C38,$C$6:$AK$33,18+3,FALSE)=1,3,IF(VLOOKUP($C38,$C$6:$AK$33,18+4,FALSE)=1,4,IF(VLOOKUP($C38,$C$6:$AK$33,18+1,FALSE)=1,1,IF(VLOOKUP($C38,$C$6:$AK$33,18+5,FALSE)=1,5,IF(VLOOKUP($C38,$C$6:$AK$33,18+2,FALSE)=1,2,IF(VLOOKUP($C38,$C$6:$AK$33,18+6,FALSE)=1,6,IF(VLOOKUP($C38,$C$6:$AK$33,18+7,FALSE)=1,7,IF(VLOOKUP($C38,$C$6:$AK$33,18+8,FALSE)=1,8,9)))))))))</f>
        <v/>
      </c>
      <c r="H38" s="8" t="str">
        <f>IF($C38="","",VLOOKUP($C38,$C$6:$AK$33,35,FALSE))</f>
        <v/>
      </c>
      <c r="I38" s="89">
        <v>1</v>
      </c>
      <c r="J38" s="53" t="str">
        <f>IF($C38="","",VLOOKUP($C38,$C$6:$AZ$33,17+AD$4,FALSE))</f>
        <v/>
      </c>
      <c r="K38" s="241" t="str">
        <f>IF($C38="","",VLOOKUP($C38,$C$6:$AZ$33,17+AE$4,FALSE))</f>
        <v/>
      </c>
      <c r="L38" s="241" t="str">
        <f>IF($C38="","",VLOOKUP($C38,$C$6:$AZ$33,17+AF$4,FALSE))</f>
        <v/>
      </c>
      <c r="M38" s="241" t="str">
        <f>IF($C38="","",VLOOKUP($C38,$C$6:$AZ$33,17+AG$4,FALSE))</f>
        <v/>
      </c>
      <c r="N38" s="241" t="str">
        <f>IF($C38="","",VLOOKUP($C38,$C$6:$AZ$33,17+AH$4,FALSE))</f>
        <v/>
      </c>
      <c r="O38" s="53" t="str">
        <f>IF($C38="","",VLOOKUP($C38,$C$6:$AZ$33,1+AI$4,FALSE))</f>
        <v/>
      </c>
      <c r="P38" s="242" t="str">
        <f>IF($C38="","",VLOOKUP($C38,$C$6:$AZ$33,1+AJ$4,FALSE))</f>
        <v/>
      </c>
      <c r="Q38" s="118" t="str">
        <f>IF($C38="","",IF($D38="DH","-",VLOOKUP($C38,$C$5:$AZ$33,9+VLOOKUP($D38,$T$35:$U$43,2,FALSE),FALSE)))</f>
        <v/>
      </c>
      <c r="R38" s="102" t="str">
        <f>IF($C38="","",IF($D38="DH","-",VLOOKUP($C38,$C$5:$AZ$33,VLOOKUP($D38,$T$35:$V$43,3,FALSE),FALSE)))</f>
        <v/>
      </c>
      <c r="T38" s="53" t="s">
        <v>98</v>
      </c>
      <c r="U38" s="53">
        <v>4</v>
      </c>
      <c r="V38" s="242">
        <v>9</v>
      </c>
      <c r="W38" s="241" t="str">
        <f t="shared" si="185"/>
        <v/>
      </c>
      <c r="X38" s="242" t="str">
        <f t="shared" si="186"/>
        <v/>
      </c>
      <c r="AG38" s="77">
        <v>3</v>
      </c>
      <c r="AH38" s="295" t="s">
        <v>359</v>
      </c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6"/>
    </row>
    <row r="39" spans="1:52">
      <c r="B39" s="36">
        <v>4</v>
      </c>
      <c r="C39" s="58"/>
      <c r="D39" s="65" t="s">
        <v>97</v>
      </c>
      <c r="E39" s="38" t="str">
        <f>IF($C39="","",VLOOKUP($C39,$C$6:$AK$33,$E$4-2,FALSE))</f>
        <v/>
      </c>
      <c r="F39" s="241" t="str">
        <f>IF($C39="","",VLOOKUP($C39,$C$6:$AK$33,18+$B39,FALSE))</f>
        <v/>
      </c>
      <c r="G39" s="241" t="str">
        <f>IF($C39="","",IF(VLOOKUP($C39,$C$6:$AK$33,18+3,FALSE)=1,3,IF(VLOOKUP($C39,$C$6:$AK$33,18+4,FALSE)=1,4,IF(VLOOKUP($C39,$C$6:$AK$33,18+1,FALSE)=1,1,IF(VLOOKUP($C39,$C$6:$AK$33,18+5,FALSE)=1,5,IF(VLOOKUP($C39,$C$6:$AK$33,18+2,FALSE)=1,2,IF(VLOOKUP($C39,$C$6:$AK$33,18+6,FALSE)=1,6,IF(VLOOKUP($C39,$C$6:$AK$33,18+7,FALSE)=1,7,IF(VLOOKUP($C39,$C$6:$AK$33,18+8,FALSE)=1,8,9)))))))))</f>
        <v/>
      </c>
      <c r="H39" s="8" t="str">
        <f>IF($C39="","",VLOOKUP($C39,$C$6:$AK$33,35,FALSE))</f>
        <v/>
      </c>
      <c r="I39" s="89">
        <v>2</v>
      </c>
      <c r="J39" s="53" t="str">
        <f>IF($C39="","",VLOOKUP($C39,$C$6:$AZ$33,17+AD$4,FALSE))</f>
        <v/>
      </c>
      <c r="K39" s="241" t="str">
        <f>IF($C39="","",VLOOKUP($C39,$C$6:$AZ$33,17+AE$4,FALSE))</f>
        <v/>
      </c>
      <c r="L39" s="241" t="str">
        <f>IF($C39="","",VLOOKUP($C39,$C$6:$AZ$33,17+AF$4,FALSE))</f>
        <v/>
      </c>
      <c r="M39" s="241" t="str">
        <f>IF($C39="","",VLOOKUP($C39,$C$6:$AZ$33,17+AG$4,FALSE))</f>
        <v/>
      </c>
      <c r="N39" s="241" t="str">
        <f>IF($C39="","",VLOOKUP($C39,$C$6:$AZ$33,17+AH$4,FALSE))</f>
        <v/>
      </c>
      <c r="O39" s="53" t="str">
        <f>IF($C39="","",VLOOKUP($C39,$C$6:$AZ$33,1+AI$4,FALSE))</f>
        <v/>
      </c>
      <c r="P39" s="242" t="str">
        <f>IF($C39="","",VLOOKUP($C39,$C$6:$AZ$33,1+AJ$4,FALSE))</f>
        <v/>
      </c>
      <c r="Q39" s="118" t="str">
        <f>IF($C39="","",IF($D39="DH","-",VLOOKUP($C39,$C$5:$AZ$33,9+VLOOKUP($D39,$T$35:$U$43,2,FALSE),FALSE)))</f>
        <v/>
      </c>
      <c r="R39" s="102" t="str">
        <f>IF($C39="","",IF($D39="DH","-",VLOOKUP($C39,$C$5:$AZ$33,VLOOKUP($D39,$T$35:$V$43,3,FALSE),FALSE)))</f>
        <v/>
      </c>
      <c r="T39" s="53" t="s">
        <v>99</v>
      </c>
      <c r="U39" s="53">
        <v>5</v>
      </c>
      <c r="V39" s="242">
        <v>9</v>
      </c>
      <c r="W39" s="241" t="str">
        <f t="shared" si="185"/>
        <v/>
      </c>
      <c r="X39" s="242" t="str">
        <f t="shared" si="186"/>
        <v/>
      </c>
      <c r="AG39" s="77">
        <v>4</v>
      </c>
      <c r="AH39" s="297" t="s">
        <v>358</v>
      </c>
      <c r="AI39" s="297"/>
      <c r="AJ39" s="297"/>
      <c r="AK39" s="297"/>
      <c r="AL39" s="297"/>
      <c r="AM39" s="297"/>
      <c r="AN39" s="297"/>
      <c r="AO39" s="297"/>
      <c r="AP39" s="297"/>
      <c r="AQ39" s="297"/>
      <c r="AR39" s="297"/>
      <c r="AS39" s="297"/>
      <c r="AT39" s="297"/>
    </row>
    <row r="40" spans="1:52">
      <c r="B40" s="36">
        <v>5</v>
      </c>
      <c r="C40" s="58"/>
      <c r="D40" s="65" t="s">
        <v>95</v>
      </c>
      <c r="E40" s="38" t="str">
        <f>IF($C40="","",VLOOKUP($C40,$C$6:$AK$33,$E$4-2,FALSE))</f>
        <v/>
      </c>
      <c r="F40" s="241" t="str">
        <f>IF($C40="","",VLOOKUP($C40,$C$6:$AK$33,18+$B40,FALSE))</f>
        <v/>
      </c>
      <c r="G40" s="241" t="str">
        <f>IF($C40="","",IF(VLOOKUP($C40,$C$6:$AK$33,18+3,FALSE)=1,3,IF(VLOOKUP($C40,$C$6:$AK$33,18+4,FALSE)=1,4,IF(VLOOKUP($C40,$C$6:$AK$33,18+1,FALSE)=1,1,IF(VLOOKUP($C40,$C$6:$AK$33,18+5,FALSE)=1,5,IF(VLOOKUP($C40,$C$6:$AK$33,18+2,FALSE)=1,2,IF(VLOOKUP($C40,$C$6:$AK$33,18+6,FALSE)=1,6,IF(VLOOKUP($C40,$C$6:$AK$33,18+7,FALSE)=1,7,IF(VLOOKUP($C40,$C$6:$AK$33,18+8,FALSE)=1,8,9)))))))))</f>
        <v/>
      </c>
      <c r="H40" s="8" t="str">
        <f>IF($C40="","",VLOOKUP($C40,$C$6:$AK$33,35,FALSE))</f>
        <v/>
      </c>
      <c r="I40" s="89">
        <v>4</v>
      </c>
      <c r="J40" s="53" t="str">
        <f>IF($C40="","",VLOOKUP($C40,$C$6:$AZ$33,17+AD$4,FALSE))</f>
        <v/>
      </c>
      <c r="K40" s="241" t="str">
        <f>IF($C40="","",VLOOKUP($C40,$C$6:$AZ$33,17+AE$4,FALSE))</f>
        <v/>
      </c>
      <c r="L40" s="241" t="str">
        <f>IF($C40="","",VLOOKUP($C40,$C$6:$AZ$33,17+AF$4,FALSE))</f>
        <v/>
      </c>
      <c r="M40" s="241" t="str">
        <f>IF($C40="","",VLOOKUP($C40,$C$6:$AZ$33,17+AG$4,FALSE))</f>
        <v/>
      </c>
      <c r="N40" s="241" t="str">
        <f>IF($C40="","",VLOOKUP($C40,$C$6:$AZ$33,17+AH$4,FALSE))</f>
        <v/>
      </c>
      <c r="O40" s="53" t="str">
        <f>IF($C40="","",VLOOKUP($C40,$C$6:$AZ$33,1+AI$4,FALSE))</f>
        <v/>
      </c>
      <c r="P40" s="242" t="str">
        <f>IF($C40="","",VLOOKUP($C40,$C$6:$AZ$33,1+AJ$4,FALSE))</f>
        <v/>
      </c>
      <c r="Q40" s="118" t="str">
        <f>IF($C40="","",IF($D40="DH","-",VLOOKUP($C40,$C$5:$AZ$33,9+VLOOKUP($D40,$T$35:$U$43,2,FALSE),FALSE)))</f>
        <v/>
      </c>
      <c r="R40" s="102" t="str">
        <f>IF($C40="","",IF($D40="DH","-",VLOOKUP($C40,$C$5:$AZ$33,VLOOKUP($D40,$T$35:$V$43,3,FALSE),FALSE)))</f>
        <v/>
      </c>
      <c r="T40" s="53" t="s">
        <v>100</v>
      </c>
      <c r="U40" s="53">
        <v>6</v>
      </c>
      <c r="V40" s="242">
        <v>9</v>
      </c>
      <c r="W40" s="241" t="str">
        <f t="shared" si="185"/>
        <v/>
      </c>
      <c r="X40" s="242" t="str">
        <f t="shared" si="186"/>
        <v/>
      </c>
      <c r="AG40" s="78">
        <v>5</v>
      </c>
      <c r="AH40" s="293" t="s">
        <v>360</v>
      </c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4"/>
    </row>
    <row r="41" spans="1:52">
      <c r="B41" s="36">
        <v>6</v>
      </c>
      <c r="C41" s="58"/>
      <c r="D41" s="65" t="s">
        <v>103</v>
      </c>
      <c r="E41" s="38" t="str">
        <f>IF($C41="","",VLOOKUP($C41,$C$6:$AK$33,$E$4-2,FALSE))</f>
        <v/>
      </c>
      <c r="F41" s="241" t="str">
        <f>IF($C41="","",VLOOKUP($C41,$C$6:$AK$33,18+$B41,FALSE))</f>
        <v/>
      </c>
      <c r="G41" s="241" t="str">
        <f>IF($C41="","",IF(VLOOKUP($C41,$C$6:$AK$33,18+3,FALSE)=1,3,IF(VLOOKUP($C41,$C$6:$AK$33,18+4,FALSE)=1,4,IF(VLOOKUP($C41,$C$6:$AK$33,18+1,FALSE)=1,1,IF(VLOOKUP($C41,$C$6:$AK$33,18+5,FALSE)=1,5,IF(VLOOKUP($C41,$C$6:$AK$33,18+2,FALSE)=1,2,IF(VLOOKUP($C41,$C$6:$AK$33,18+6,FALSE)=1,6,IF(VLOOKUP($C41,$C$6:$AK$33,18+7,FALSE)=1,7,IF(VLOOKUP($C41,$C$6:$AK$33,18+8,FALSE)=1,8,9)))))))))</f>
        <v/>
      </c>
      <c r="H41" s="8" t="str">
        <f>IF($C41="","",VLOOKUP($C41,$C$6:$AK$33,35,FALSE))</f>
        <v/>
      </c>
      <c r="I41" s="89">
        <v>6</v>
      </c>
      <c r="J41" s="53" t="str">
        <f>IF($C41="","",VLOOKUP($C41,$C$6:$AZ$33,17+AD$4,FALSE))</f>
        <v/>
      </c>
      <c r="K41" s="241" t="str">
        <f>IF($C41="","",VLOOKUP($C41,$C$6:$AZ$33,17+AE$4,FALSE))</f>
        <v/>
      </c>
      <c r="L41" s="241" t="str">
        <f>IF($C41="","",VLOOKUP($C41,$C$6:$AZ$33,17+AF$4,FALSE))</f>
        <v/>
      </c>
      <c r="M41" s="241" t="str">
        <f>IF($C41="","",VLOOKUP($C41,$C$6:$AZ$33,17+AG$4,FALSE))</f>
        <v/>
      </c>
      <c r="N41" s="241" t="str">
        <f>IF($C41="","",VLOOKUP($C41,$C$6:$AZ$33,17+AH$4,FALSE))</f>
        <v/>
      </c>
      <c r="O41" s="53" t="str">
        <f>IF($C41="","",VLOOKUP($C41,$C$6:$AZ$33,1+AI$4,FALSE))</f>
        <v/>
      </c>
      <c r="P41" s="242" t="str">
        <f>IF($C41="","",VLOOKUP($C41,$C$6:$AZ$33,1+AJ$4,FALSE))</f>
        <v/>
      </c>
      <c r="Q41" s="118" t="str">
        <f>IF($C41="","",IF($D41="DH","-",VLOOKUP($C41,$C$5:$AZ$33,9+VLOOKUP($D41,$T$35:$U$43,2,FALSE),FALSE)))</f>
        <v/>
      </c>
      <c r="R41" s="102" t="str">
        <f>IF($C41="","",IF($D41="DH","-",VLOOKUP($C41,$C$5:$AZ$33,VLOOKUP($D41,$T$35:$V$43,3,FALSE),FALSE)))</f>
        <v/>
      </c>
      <c r="T41" s="53" t="s">
        <v>101</v>
      </c>
      <c r="U41" s="53">
        <v>7</v>
      </c>
      <c r="V41" s="242">
        <v>10</v>
      </c>
      <c r="W41" s="241" t="str">
        <f t="shared" si="185"/>
        <v/>
      </c>
      <c r="X41" s="242" t="str">
        <f t="shared" si="186"/>
        <v/>
      </c>
    </row>
    <row r="42" spans="1:52">
      <c r="B42" s="36">
        <v>7</v>
      </c>
      <c r="C42" s="58"/>
      <c r="D42" s="65" t="s">
        <v>101</v>
      </c>
      <c r="E42" s="38" t="str">
        <f>IF($C42="","",VLOOKUP($C42,$C$6:$AK$33,$E$4-2,FALSE))</f>
        <v/>
      </c>
      <c r="F42" s="241" t="str">
        <f>IF($C42="","",VLOOKUP($C42,$C$6:$AK$33,18+$B42,FALSE))</f>
        <v/>
      </c>
      <c r="G42" s="241" t="str">
        <f>IF($C42="","",IF(VLOOKUP($C42,$C$6:$AK$33,18+3,FALSE)=1,3,IF(VLOOKUP($C42,$C$6:$AK$33,18+4,FALSE)=1,4,IF(VLOOKUP($C42,$C$6:$AK$33,18+1,FALSE)=1,1,IF(VLOOKUP($C42,$C$6:$AK$33,18+5,FALSE)=1,5,IF(VLOOKUP($C42,$C$6:$AK$33,18+2,FALSE)=1,2,IF(VLOOKUP($C42,$C$6:$AK$33,18+6,FALSE)=1,6,IF(VLOOKUP($C42,$C$6:$AK$33,18+7,FALSE)=1,7,IF(VLOOKUP($C42,$C$6:$AK$33,18+8,FALSE)=1,8,9)))))))))</f>
        <v/>
      </c>
      <c r="H42" s="8" t="str">
        <f>IF($C42="","",VLOOKUP($C42,$C$6:$AK$33,35,FALSE))</f>
        <v/>
      </c>
      <c r="I42" s="89">
        <v>7</v>
      </c>
      <c r="J42" s="53" t="str">
        <f>IF($C42="","",VLOOKUP($C42,$C$6:$AZ$33,17+AD$4,FALSE))</f>
        <v/>
      </c>
      <c r="K42" s="241" t="str">
        <f>IF($C42="","",VLOOKUP($C42,$C$6:$AZ$33,17+AE$4,FALSE))</f>
        <v/>
      </c>
      <c r="L42" s="241" t="str">
        <f>IF($C42="","",VLOOKUP($C42,$C$6:$AZ$33,17+AF$4,FALSE))</f>
        <v/>
      </c>
      <c r="M42" s="241" t="str">
        <f>IF($C42="","",VLOOKUP($C42,$C$6:$AZ$33,17+AG$4,FALSE))</f>
        <v/>
      </c>
      <c r="N42" s="241" t="str">
        <f>IF($C42="","",VLOOKUP($C42,$C$6:$AZ$33,17+AH$4,FALSE))</f>
        <v/>
      </c>
      <c r="O42" s="53" t="str">
        <f>IF($C42="","",VLOOKUP($C42,$C$6:$AZ$33,1+AI$4,FALSE))</f>
        <v/>
      </c>
      <c r="P42" s="242" t="str">
        <f>IF($C42="","",VLOOKUP($C42,$C$6:$AZ$33,1+AJ$4,FALSE))</f>
        <v/>
      </c>
      <c r="Q42" s="118" t="str">
        <f>IF($C42="","",IF($D42="DH","-",VLOOKUP($C42,$C$5:$AZ$33,9+VLOOKUP($D42,$T$35:$U$43,2,FALSE),FALSE)))</f>
        <v/>
      </c>
      <c r="R42" s="102" t="str">
        <f>IF($C42="","",IF($D42="DH","-",VLOOKUP($C42,$C$5:$AZ$33,VLOOKUP($D42,$T$35:$V$43,3,FALSE),FALSE)))</f>
        <v/>
      </c>
      <c r="T42" s="53" t="s">
        <v>102</v>
      </c>
      <c r="U42" s="53">
        <v>8</v>
      </c>
      <c r="V42" s="242">
        <v>10</v>
      </c>
      <c r="W42" s="241" t="str">
        <f t="shared" si="185"/>
        <v/>
      </c>
      <c r="X42" s="242" t="str">
        <f t="shared" si="186"/>
        <v/>
      </c>
    </row>
    <row r="43" spans="1:52">
      <c r="B43" s="36">
        <v>8</v>
      </c>
      <c r="C43" s="58"/>
      <c r="D43" s="65" t="s">
        <v>99</v>
      </c>
      <c r="E43" s="38" t="str">
        <f>IF($C43="","",VLOOKUP($C43,$C$6:$AK$33,$E$4-2,FALSE))</f>
        <v/>
      </c>
      <c r="F43" s="241" t="str">
        <f>IF($C43="","",VLOOKUP($C43,$C$6:$AK$33,18+$B43,FALSE))</f>
        <v/>
      </c>
      <c r="G43" s="241" t="str">
        <f>IF($C43="","",IF(VLOOKUP($C43,$C$6:$AK$33,18+3,FALSE)=1,3,IF(VLOOKUP($C43,$C$6:$AK$33,18+4,FALSE)=1,4,IF(VLOOKUP($C43,$C$6:$AK$33,18+1,FALSE)=1,1,IF(VLOOKUP($C43,$C$6:$AK$33,18+5,FALSE)=1,5,IF(VLOOKUP($C43,$C$6:$AK$33,18+2,FALSE)=1,2,IF(VLOOKUP($C43,$C$6:$AK$33,18+6,FALSE)=1,6,IF(VLOOKUP($C43,$C$6:$AK$33,18+7,FALSE)=1,7,IF(VLOOKUP($C43,$C$6:$AK$33,18+8,FALSE)=1,8,9)))))))))</f>
        <v/>
      </c>
      <c r="H43" s="8" t="str">
        <f>IF($C43="","",VLOOKUP($C43,$C$6:$AK$33,35,FALSE))</f>
        <v/>
      </c>
      <c r="I43" s="89">
        <v>8</v>
      </c>
      <c r="J43" s="53" t="str">
        <f>IF($C43="","",VLOOKUP($C43,$C$6:$AZ$33,17+AD$4,FALSE))</f>
        <v/>
      </c>
      <c r="K43" s="241" t="str">
        <f>IF($C43="","",VLOOKUP($C43,$C$6:$AZ$33,17+AE$4,FALSE))</f>
        <v/>
      </c>
      <c r="L43" s="241" t="str">
        <f>IF($C43="","",VLOOKUP($C43,$C$6:$AZ$33,17+AF$4,FALSE))</f>
        <v/>
      </c>
      <c r="M43" s="241" t="str">
        <f>IF($C43="","",VLOOKUP($C43,$C$6:$AZ$33,17+AG$4,FALSE))</f>
        <v/>
      </c>
      <c r="N43" s="241" t="str">
        <f>IF($C43="","",VLOOKUP($C43,$C$6:$AZ$33,17+AH$4,FALSE))</f>
        <v/>
      </c>
      <c r="O43" s="53" t="str">
        <f>IF($C43="","",VLOOKUP($C43,$C$6:$AZ$33,1+AI$4,FALSE))</f>
        <v/>
      </c>
      <c r="P43" s="242" t="str">
        <f>IF($C43="","",VLOOKUP($C43,$C$6:$AZ$33,1+AJ$4,FALSE))</f>
        <v/>
      </c>
      <c r="Q43" s="118" t="str">
        <f>IF($C43="","",IF($D43="DH","-",VLOOKUP($C43,$C$5:$AZ$33,9+VLOOKUP($D43,$T$35:$U$43,2,FALSE),FALSE)))</f>
        <v/>
      </c>
      <c r="R43" s="102" t="str">
        <f>IF($C43="","",IF($D43="DH","-",VLOOKUP($C43,$C$5:$AZ$33,VLOOKUP($D43,$T$35:$V$43,3,FALSE),FALSE)))</f>
        <v/>
      </c>
      <c r="T43" s="54" t="s">
        <v>103</v>
      </c>
      <c r="U43" s="54">
        <v>9</v>
      </c>
      <c r="V43" s="240">
        <v>10</v>
      </c>
      <c r="W43" s="239" t="str">
        <f t="shared" si="185"/>
        <v/>
      </c>
      <c r="X43" s="240" t="str">
        <f t="shared" si="186"/>
        <v/>
      </c>
    </row>
    <row r="44" spans="1:52">
      <c r="B44" s="39">
        <v>9</v>
      </c>
      <c r="C44" s="59"/>
      <c r="D44" s="40" t="s">
        <v>98</v>
      </c>
      <c r="E44" s="42" t="str">
        <f>IF($C44="","",VLOOKUP($C44,$C$6:$AK$33,$E$4-2,FALSE))</f>
        <v/>
      </c>
      <c r="F44" s="239" t="str">
        <f>IF($C44="","",VLOOKUP($C44,$C$6:$AK$33,18+$B44,FALSE))</f>
        <v/>
      </c>
      <c r="G44" s="239" t="str">
        <f>IF($C44="","",IF(VLOOKUP($C44,$C$6:$AK$33,18+3,FALSE)=1,3,IF(VLOOKUP($C44,$C$6:$AK$33,18+4,FALSE)=1,4,IF(VLOOKUP($C44,$C$6:$AK$33,18+1,FALSE)=1,1,IF(VLOOKUP($C44,$C$6:$AK$33,18+5,FALSE)=1,5,IF(VLOOKUP($C44,$C$6:$AK$33,18+2,FALSE)=1,2,IF(VLOOKUP($C44,$C$6:$AK$33,18+6,FALSE)=1,6,IF(VLOOKUP($C44,$C$6:$AK$33,18+7,FALSE)=1,7,IF(VLOOKUP($C44,$C$6:$AK$33,18+8,FALSE)=1,8,9)))))))))</f>
        <v/>
      </c>
      <c r="H44" s="69" t="str">
        <f>IF($C44="","",VLOOKUP($C44,$C$6:$AK$33,35,FALSE))</f>
        <v/>
      </c>
      <c r="I44" s="90">
        <v>9</v>
      </c>
      <c r="J44" s="54" t="str">
        <f>IF($C44="","",VLOOKUP($C44,$C$6:$AZ$33,17+AD$4,FALSE))</f>
        <v/>
      </c>
      <c r="K44" s="239" t="str">
        <f>IF($C44="","",VLOOKUP($C44,$C$6:$AZ$33,17+AE$4,FALSE))</f>
        <v/>
      </c>
      <c r="L44" s="239" t="str">
        <f>IF($C44="","",VLOOKUP($C44,$C$6:$AZ$33,17+AF$4,FALSE))</f>
        <v/>
      </c>
      <c r="M44" s="239" t="str">
        <f>IF($C44="","",VLOOKUP($C44,$C$6:$AZ$33,17+AG$4,FALSE))</f>
        <v/>
      </c>
      <c r="N44" s="239" t="str">
        <f>IF($C44="","",VLOOKUP($C44,$C$6:$AZ$33,17+AH$4,FALSE))</f>
        <v/>
      </c>
      <c r="O44" s="54" t="str">
        <f>IF($C44="","",VLOOKUP($C44,$C$6:$AZ$33,1+AI$4,FALSE))</f>
        <v/>
      </c>
      <c r="P44" s="240" t="str">
        <f>IF($C44="","",VLOOKUP($C44,$C$6:$AZ$33,1+AJ$4,FALSE))</f>
        <v/>
      </c>
      <c r="Q44" s="119" t="str">
        <f>IF($C44="","",IF($D44="DH","-",VLOOKUP($C44,$C$5:$AZ$33,9+VLOOKUP($D44,$T$35:$U$43,2,FALSE),FALSE)))</f>
        <v/>
      </c>
      <c r="R44" s="103" t="str">
        <f>IF($C44="","",IF($D44="DH","-",VLOOKUP($C44,$C$5:$AZ$33,VLOOKUP($D44,$T$35:$V$43,3,FALSE),FALSE)))</f>
        <v/>
      </c>
    </row>
    <row r="45" spans="1:52">
      <c r="B45" s="4"/>
      <c r="C45" s="37"/>
      <c r="D45" s="37"/>
      <c r="E45" s="37"/>
      <c r="F45" s="241"/>
      <c r="G45" s="241"/>
      <c r="H45" s="9"/>
    </row>
    <row r="46" spans="1:52">
      <c r="B46" s="32" t="s">
        <v>197</v>
      </c>
      <c r="C46" s="35">
        <f>COUNTA(C6:C17,C20:C27,C30:C33)</f>
        <v>20</v>
      </c>
      <c r="D46" s="318">
        <f>C46/$C$48</f>
        <v>0.5714285714285714</v>
      </c>
      <c r="E46" s="37"/>
      <c r="F46" s="241"/>
      <c r="G46" s="241"/>
      <c r="H46" s="9"/>
    </row>
    <row r="47" spans="1:52">
      <c r="B47" s="36" t="s">
        <v>198</v>
      </c>
      <c r="C47" s="38">
        <f>COUNTA(C51:C56,C59:C60,C63:C72)</f>
        <v>15</v>
      </c>
      <c r="D47" s="318">
        <f>C47/$C$48</f>
        <v>0.42857142857142855</v>
      </c>
      <c r="E47" s="37"/>
      <c r="F47" s="241"/>
      <c r="G47" s="241"/>
      <c r="H47" s="9"/>
    </row>
    <row r="48" spans="1:52">
      <c r="B48" s="39" t="s">
        <v>199</v>
      </c>
      <c r="C48" s="42">
        <f>C46+C47</f>
        <v>35</v>
      </c>
      <c r="D48" s="37"/>
      <c r="E48" s="37"/>
      <c r="F48" s="241"/>
      <c r="G48" s="241"/>
      <c r="H48" s="9"/>
    </row>
    <row r="49" spans="1:33">
      <c r="I49">
        <v>6</v>
      </c>
      <c r="K49">
        <v>11</v>
      </c>
      <c r="L49">
        <v>12</v>
      </c>
      <c r="M49">
        <v>13</v>
      </c>
      <c r="N49">
        <v>17</v>
      </c>
      <c r="O49">
        <f>N49+2</f>
        <v>19</v>
      </c>
      <c r="P49">
        <f t="shared" ref="P49:Y49" si="187">O49+2</f>
        <v>21</v>
      </c>
      <c r="Q49">
        <f t="shared" si="187"/>
        <v>23</v>
      </c>
      <c r="R49">
        <f t="shared" si="187"/>
        <v>25</v>
      </c>
      <c r="S49">
        <f t="shared" si="187"/>
        <v>27</v>
      </c>
      <c r="T49">
        <f t="shared" si="187"/>
        <v>29</v>
      </c>
      <c r="U49">
        <f t="shared" si="187"/>
        <v>31</v>
      </c>
      <c r="V49">
        <f t="shared" si="187"/>
        <v>33</v>
      </c>
      <c r="W49">
        <f t="shared" si="187"/>
        <v>35</v>
      </c>
      <c r="X49">
        <f t="shared" si="187"/>
        <v>37</v>
      </c>
      <c r="Y49">
        <f t="shared" si="187"/>
        <v>39</v>
      </c>
      <c r="Z49">
        <v>41</v>
      </c>
      <c r="AA49">
        <v>42</v>
      </c>
      <c r="AB49">
        <v>43</v>
      </c>
      <c r="AC49">
        <v>46</v>
      </c>
      <c r="AD49">
        <v>14</v>
      </c>
      <c r="AE49">
        <v>15</v>
      </c>
      <c r="AF49">
        <v>16</v>
      </c>
      <c r="AG49">
        <v>48</v>
      </c>
    </row>
    <row r="50" spans="1:33" s="241" customFormat="1" ht="74.25">
      <c r="A50" s="73" t="s">
        <v>196</v>
      </c>
      <c r="B50" s="236" t="s">
        <v>129</v>
      </c>
      <c r="C50" s="44" t="s">
        <v>121</v>
      </c>
      <c r="D50" s="44" t="s">
        <v>94</v>
      </c>
      <c r="E50" s="50" t="s">
        <v>105</v>
      </c>
      <c r="F50" s="46" t="s">
        <v>186</v>
      </c>
      <c r="G50" s="46" t="s">
        <v>187</v>
      </c>
      <c r="H50" s="46" t="s">
        <v>188</v>
      </c>
      <c r="I50" s="76" t="s">
        <v>217</v>
      </c>
      <c r="J50" s="76" t="s">
        <v>192</v>
      </c>
      <c r="K50" s="74" t="s">
        <v>189</v>
      </c>
      <c r="L50" s="74" t="s">
        <v>190</v>
      </c>
      <c r="M50" s="75" t="s">
        <v>191</v>
      </c>
      <c r="N50" s="74" t="s">
        <v>63</v>
      </c>
      <c r="O50" s="74" t="s">
        <v>65</v>
      </c>
      <c r="P50" s="74" t="s">
        <v>67</v>
      </c>
      <c r="Q50" s="74" t="s">
        <v>69</v>
      </c>
      <c r="R50" s="74" t="s">
        <v>71</v>
      </c>
      <c r="S50" s="74" t="s">
        <v>111</v>
      </c>
      <c r="T50" s="74" t="s">
        <v>74</v>
      </c>
      <c r="U50" s="74" t="s">
        <v>76</v>
      </c>
      <c r="V50" s="74" t="s">
        <v>78</v>
      </c>
      <c r="W50" s="74" t="s">
        <v>80</v>
      </c>
      <c r="X50" s="74" t="s">
        <v>82</v>
      </c>
      <c r="Y50" s="75" t="s">
        <v>84</v>
      </c>
      <c r="Z50" s="79" t="s">
        <v>203</v>
      </c>
      <c r="AA50" s="74" t="s">
        <v>202</v>
      </c>
      <c r="AB50" s="75" t="s">
        <v>204</v>
      </c>
      <c r="AC50" s="319" t="s">
        <v>647</v>
      </c>
      <c r="AD50" s="74" t="s">
        <v>189</v>
      </c>
      <c r="AE50" s="74" t="s">
        <v>190</v>
      </c>
      <c r="AF50" s="75" t="s">
        <v>191</v>
      </c>
      <c r="AG50" s="319" t="s">
        <v>201</v>
      </c>
    </row>
    <row r="51" spans="1:33">
      <c r="A51" s="241">
        <v>1</v>
      </c>
      <c r="B51" s="36" t="s">
        <v>111</v>
      </c>
      <c r="C51" s="288" t="s">
        <v>514</v>
      </c>
      <c r="D51" s="37">
        <f>IF($C51="","",VLOOKUP($C51,CTPit!$E$10:$BG$214,D$4,FALSE))</f>
        <v>22</v>
      </c>
      <c r="E51" s="38" t="str">
        <f>IF($C51="","",VLOOKUP($C51,CTPit!$E$10:$BG$214,E$4+1,FALSE))</f>
        <v>R</v>
      </c>
      <c r="F51" s="241">
        <f>IF($C51="","",IF(AG51&gt;7,1,0))</f>
        <v>0</v>
      </c>
      <c r="G51" s="241">
        <f>IF($C51="","",IF(AG51&gt;6.5,1,0))</f>
        <v>0</v>
      </c>
      <c r="H51" s="241">
        <f>IF($C51="","",IF(AG51&gt;6,1,0))</f>
        <v>0</v>
      </c>
      <c r="I51" s="99" t="str">
        <f>IF($C51="","",VLOOKUP($C51,CTPit!$E$10:$BG$172,I$49,FALSE))</f>
        <v>R</v>
      </c>
      <c r="J51" s="77">
        <f t="shared" ref="J51:J56" si="188">IF($C51="","",COUNT(N51:Y51))</f>
        <v>4</v>
      </c>
      <c r="K51" s="241">
        <f>IF($C51="","",VLOOKUP($C51,CTPit!$E$10:$BG$172,K$49,FALSE))</f>
        <v>6</v>
      </c>
      <c r="L51" s="241">
        <f>IF($C51="","",VLOOKUP($C51,CTPit!$E$10:$BG$172,L$49,FALSE))</f>
        <v>4</v>
      </c>
      <c r="M51" s="242">
        <f>IF($C51="","",VLOOKUP($C51,CTPit!$E$10:$BG$172,M$49,FALSE))</f>
        <v>2</v>
      </c>
      <c r="N51" s="241">
        <f>IF($C51="","",VLOOKUP($C51,CTPit!$E$10:$BG$172,N$49,FALSE))</f>
        <v>7</v>
      </c>
      <c r="O51" s="241">
        <f>IF($C51="","",VLOOKUP($C51,CTPit!$E$10:$BG$172,O$49,FALSE))</f>
        <v>5</v>
      </c>
      <c r="P51" s="241" t="str">
        <f>IF($C51="","",VLOOKUP($C51,CTPit!$E$10:$BG$172,P$49,FALSE))</f>
        <v>-</v>
      </c>
      <c r="Q51" s="241" t="str">
        <f>IF($C51="","",VLOOKUP($C51,CTPit!$E$10:$BG$172,Q$49,FALSE))</f>
        <v>-</v>
      </c>
      <c r="R51" s="241" t="str">
        <f>IF($C51="","",VLOOKUP($C51,CTPit!$E$10:$BG$172,R$49,FALSE))</f>
        <v>-</v>
      </c>
      <c r="S51" s="241">
        <f>IF($C51="","",VLOOKUP($C51,CTPit!$E$10:$BG$172,S$49,FALSE))</f>
        <v>5</v>
      </c>
      <c r="T51" s="241" t="str">
        <f>IF($C51="","",VLOOKUP($C51,CTPit!$E$10:$BG$172,T$49,FALSE))</f>
        <v>-</v>
      </c>
      <c r="U51" s="241">
        <f>IF($C51="","",VLOOKUP($C51,CTPit!$E$10:$BG$172,U$49,FALSE))</f>
        <v>6</v>
      </c>
      <c r="V51" s="241" t="str">
        <f>IF($C51="","",VLOOKUP($C51,CTPit!$E$10:$BG$172,V$49,FALSE))</f>
        <v>-</v>
      </c>
      <c r="W51" s="241" t="str">
        <f>IF($C51="","",VLOOKUP($C51,CTPit!$E$10:$BG$172,W$49,FALSE))</f>
        <v>-</v>
      </c>
      <c r="X51" s="241" t="str">
        <f>IF($C51="","",VLOOKUP($C51,CTPit!$E$10:$BG$172,X$49,FALSE))</f>
        <v>-</v>
      </c>
      <c r="Y51" s="242" t="str">
        <f>IF($C51="","",VLOOKUP($C51,CTPit!$E$10:$BG$172,Y$49,FALSE))</f>
        <v>-</v>
      </c>
      <c r="Z51" s="53" t="str">
        <f>IF($C51="","",VLOOKUP($C51,CTPit!$E$10:$BG$172,Z$49,FALSE))</f>
        <v>97-99 Mph</v>
      </c>
      <c r="AA51" s="241">
        <f>IF($C51="","",VLOOKUP($C51,CTPit!$E$10:$BG$172,AA$49,FALSE))</f>
        <v>6</v>
      </c>
      <c r="AB51" s="80">
        <f>IF($C51="","",VLOOKUP($C51,CTPit!$E$10:$BG$172,AB$49,FALSE))</f>
        <v>0.54</v>
      </c>
      <c r="AC51" s="320">
        <f>IF($C51="","",VLOOKUP($C51,CTPit!$E$10:$BG$172,AC$49,FALSE))</f>
        <v>4.5</v>
      </c>
      <c r="AD51" s="288">
        <f>IF($C51="","",VLOOKUP($C51,CTPit!$E$10:$BG$172,AD$49,FALSE))</f>
        <v>6</v>
      </c>
      <c r="AE51" s="288">
        <f>IF($C51="","",VLOOKUP($C51,CTPit!$E$10:$BG$172,AE$49,FALSE))</f>
        <v>4</v>
      </c>
      <c r="AF51" s="289">
        <f>IF($C51="","",VLOOKUP($C51,CTPit!$E$10:$BG$172,AF$49,FALSE))</f>
        <v>4</v>
      </c>
      <c r="AG51" s="320">
        <f>IF($C51="","",VLOOKUP($C51,CTPit!$E$10:$BG$172,AG$49,FALSE))</f>
        <v>5.166666666666667</v>
      </c>
    </row>
    <row r="52" spans="1:33">
      <c r="A52" s="241">
        <v>2</v>
      </c>
      <c r="B52" s="36" t="s">
        <v>111</v>
      </c>
      <c r="C52" s="37" t="s">
        <v>413</v>
      </c>
      <c r="D52" s="37">
        <f>IF($C52="","",VLOOKUP($C52,CTPit!$E$10:$BG$214,D$4,FALSE))</f>
        <v>20</v>
      </c>
      <c r="E52" s="38" t="str">
        <f>IF($C52="","",VLOOKUP($C52,CTPit!$E$10:$BG$214,E$4+1,FALSE))</f>
        <v>L</v>
      </c>
      <c r="F52" s="241">
        <f t="shared" ref="F52:F56" si="189">IF($C52="","",IF(AG52&gt;7,1,0))</f>
        <v>0</v>
      </c>
      <c r="G52" s="241">
        <f t="shared" ref="G52:G56" si="190">IF($C52="","",IF(AG52&gt;6.5,1,0))</f>
        <v>0</v>
      </c>
      <c r="H52" s="241">
        <f t="shared" ref="H52:H56" si="191">IF($C52="","",IF(AG52&gt;6,1,0))</f>
        <v>0</v>
      </c>
      <c r="I52" s="100" t="str">
        <f>IF($C52="","",VLOOKUP($C52,CTPit!$E$10:$BG$172,I$49,FALSE))</f>
        <v>L</v>
      </c>
      <c r="J52" s="77">
        <f t="shared" si="188"/>
        <v>5</v>
      </c>
      <c r="K52" s="241">
        <f>IF($C52="","",VLOOKUP($C52,CTPit!$E$10:$BG$172,K$49,FALSE))</f>
        <v>5</v>
      </c>
      <c r="L52" s="241">
        <f>IF($C52="","",VLOOKUP($C52,CTPit!$E$10:$BG$172,L$49,FALSE))</f>
        <v>3</v>
      </c>
      <c r="M52" s="242">
        <f>IF($C52="","",VLOOKUP($C52,CTPit!$E$10:$BG$172,M$49,FALSE))</f>
        <v>3</v>
      </c>
      <c r="N52" s="241">
        <f>IF($C52="","",VLOOKUP($C52,CTPit!$E$10:$BG$172,N$49,FALSE))</f>
        <v>6</v>
      </c>
      <c r="O52" s="241">
        <f>IF($C52="","",VLOOKUP($C52,CTPit!$E$10:$BG$172,O$49,FALSE))</f>
        <v>5</v>
      </c>
      <c r="P52" s="241">
        <f>IF($C52="","",VLOOKUP($C52,CTPit!$E$10:$BG$172,P$49,FALSE))</f>
        <v>4</v>
      </c>
      <c r="Q52" s="241" t="str">
        <f>IF($C52="","",VLOOKUP($C52,CTPit!$E$10:$BG$172,Q$49,FALSE))</f>
        <v>-</v>
      </c>
      <c r="R52" s="241" t="str">
        <f>IF($C52="","",VLOOKUP($C52,CTPit!$E$10:$BG$172,R$49,FALSE))</f>
        <v>-</v>
      </c>
      <c r="S52" s="241">
        <f>IF($C52="","",VLOOKUP($C52,CTPit!$E$10:$BG$172,S$49,FALSE))</f>
        <v>5</v>
      </c>
      <c r="T52" s="241" t="str">
        <f>IF($C52="","",VLOOKUP($C52,CTPit!$E$10:$BG$172,T$49,FALSE))</f>
        <v>-</v>
      </c>
      <c r="U52" s="241">
        <f>IF($C52="","",VLOOKUP($C52,CTPit!$E$10:$BG$172,U$49,FALSE))</f>
        <v>5</v>
      </c>
      <c r="V52" s="241" t="str">
        <f>IF($C52="","",VLOOKUP($C52,CTPit!$E$10:$BG$172,V$49,FALSE))</f>
        <v>-</v>
      </c>
      <c r="W52" s="241" t="str">
        <f>IF($C52="","",VLOOKUP($C52,CTPit!$E$10:$BG$172,W$49,FALSE))</f>
        <v>-</v>
      </c>
      <c r="X52" s="241" t="str">
        <f>IF($C52="","",VLOOKUP($C52,CTPit!$E$10:$BG$172,X$49,FALSE))</f>
        <v>-</v>
      </c>
      <c r="Y52" s="242" t="str">
        <f>IF($C52="","",VLOOKUP($C52,CTPit!$E$10:$BG$172,Y$49,FALSE))</f>
        <v>-</v>
      </c>
      <c r="Z52" s="53" t="str">
        <f>IF($C52="","",VLOOKUP($C52,CTPit!$E$10:$BG$172,Z$49,FALSE))</f>
        <v>94-96 Mph</v>
      </c>
      <c r="AA52" s="241">
        <f>IF($C52="","",VLOOKUP($C52,CTPit!$E$10:$BG$172,AA$49,FALSE))</f>
        <v>7</v>
      </c>
      <c r="AB52" s="80">
        <f>IF($C52="","",VLOOKUP($C52,CTPit!$E$10:$BG$172,AB$49,FALSE))</f>
        <v>0.34</v>
      </c>
      <c r="AC52" s="67">
        <f>IF($C52="","",VLOOKUP($C52,CTPit!$E$10:$BG$172,AC$49,FALSE))</f>
        <v>4.4166666666666661</v>
      </c>
      <c r="AD52" s="288">
        <f>IF($C52="","",VLOOKUP($C52,CTPit!$E$10:$BG$172,AD$49,FALSE))</f>
        <v>5</v>
      </c>
      <c r="AE52" s="288">
        <f>IF($C52="","",VLOOKUP($C52,CTPit!$E$10:$BG$172,AE$49,FALSE))</f>
        <v>4</v>
      </c>
      <c r="AF52" s="289">
        <f>IF($C52="","",VLOOKUP($C52,CTPit!$E$10:$BG$172,AF$49,FALSE))</f>
        <v>6</v>
      </c>
      <c r="AG52" s="67">
        <f>IF($C52="","",VLOOKUP($C52,CTPit!$E$10:$BG$172,AG$49,FALSE))</f>
        <v>5.75</v>
      </c>
    </row>
    <row r="53" spans="1:33">
      <c r="A53" s="241">
        <v>3</v>
      </c>
      <c r="B53" s="36" t="s">
        <v>111</v>
      </c>
      <c r="C53" s="288" t="s">
        <v>638</v>
      </c>
      <c r="D53" s="37">
        <f>IF($C53="","",VLOOKUP($C53,CTPit!$E$10:$BG$214,D$4,FALSE))</f>
        <v>22</v>
      </c>
      <c r="E53" s="38" t="str">
        <f>IF($C53="","",VLOOKUP($C53,CTPit!$E$10:$BG$214,E$4+1,FALSE))</f>
        <v>R</v>
      </c>
      <c r="F53" s="241">
        <f t="shared" si="189"/>
        <v>0</v>
      </c>
      <c r="G53" s="241">
        <f t="shared" si="190"/>
        <v>0</v>
      </c>
      <c r="H53" s="241">
        <f t="shared" si="191"/>
        <v>0</v>
      </c>
      <c r="I53" s="100" t="str">
        <f>IF($C53="","",VLOOKUP($C53,CTPit!$E$10:$BG$172,I$49,FALSE))</f>
        <v>R</v>
      </c>
      <c r="J53" s="77">
        <f t="shared" si="188"/>
        <v>4</v>
      </c>
      <c r="K53" s="241">
        <f>IF($C53="","",VLOOKUP($C53,CTPit!$E$10:$BG$172,K$49,FALSE))</f>
        <v>5</v>
      </c>
      <c r="L53" s="241">
        <f>IF($C53="","",VLOOKUP($C53,CTPit!$E$10:$BG$172,L$49,FALSE))</f>
        <v>3</v>
      </c>
      <c r="M53" s="242">
        <f>IF($C53="","",VLOOKUP($C53,CTPit!$E$10:$BG$172,M$49,FALSE))</f>
        <v>2</v>
      </c>
      <c r="N53" s="241">
        <f>IF($C53="","",VLOOKUP($C53,CTPit!$E$10:$BG$172,N$49,FALSE))</f>
        <v>7</v>
      </c>
      <c r="O53" s="241">
        <f>IF($C53="","",VLOOKUP($C53,CTPit!$E$10:$BG$172,O$49,FALSE))</f>
        <v>4</v>
      </c>
      <c r="P53" s="241">
        <f>IF($C53="","",VLOOKUP($C53,CTPit!$E$10:$BG$172,P$49,FALSE))</f>
        <v>6</v>
      </c>
      <c r="Q53" s="241">
        <f>IF($C53="","",VLOOKUP($C53,CTPit!$E$10:$BG$172,Q$49,FALSE))</f>
        <v>4</v>
      </c>
      <c r="R53" s="241" t="str">
        <f>IF($C53="","",VLOOKUP($C53,CTPit!$E$10:$BG$172,R$49,FALSE))</f>
        <v>-</v>
      </c>
      <c r="S53" s="241" t="str">
        <f>IF($C53="","",VLOOKUP($C53,CTPit!$E$10:$BG$172,S$49,FALSE))</f>
        <v>-</v>
      </c>
      <c r="T53" s="241" t="str">
        <f>IF($C53="","",VLOOKUP($C53,CTPit!$E$10:$BG$172,T$49,FALSE))</f>
        <v>-</v>
      </c>
      <c r="U53" s="241" t="str">
        <f>IF($C53="","",VLOOKUP($C53,CTPit!$E$10:$BG$172,U$49,FALSE))</f>
        <v>-</v>
      </c>
      <c r="V53" s="241" t="str">
        <f>IF($C53="","",VLOOKUP($C53,CTPit!$E$10:$BG$172,V$49,FALSE))</f>
        <v>-</v>
      </c>
      <c r="W53" s="241" t="str">
        <f>IF($C53="","",VLOOKUP($C53,CTPit!$E$10:$BG$172,W$49,FALSE))</f>
        <v>-</v>
      </c>
      <c r="X53" s="241" t="str">
        <f>IF($C53="","",VLOOKUP($C53,CTPit!$E$10:$BG$172,X$49,FALSE))</f>
        <v>-</v>
      </c>
      <c r="Y53" s="242" t="str">
        <f>IF($C53="","",VLOOKUP($C53,CTPit!$E$10:$BG$172,Y$49,FALSE))</f>
        <v>-</v>
      </c>
      <c r="Z53" s="53" t="str">
        <f>IF($C53="","",VLOOKUP($C53,CTPit!$E$10:$BG$172,Z$49,FALSE))</f>
        <v>98-100 Mph</v>
      </c>
      <c r="AA53" s="241">
        <f>IF($C53="","",VLOOKUP($C53,CTPit!$E$10:$BG$172,AA$49,FALSE))</f>
        <v>9</v>
      </c>
      <c r="AB53" s="80">
        <f>IF($C53="","",VLOOKUP($C53,CTPit!$E$10:$BG$172,AB$49,FALSE))</f>
        <v>0.37</v>
      </c>
      <c r="AC53" s="67">
        <f>IF($C53="","",VLOOKUP($C53,CTPit!$E$10:$BG$172,AC$49,FALSE))</f>
        <v>3.8333333333333335</v>
      </c>
      <c r="AD53" s="288">
        <f>IF($C53="","",VLOOKUP($C53,CTPit!$E$10:$BG$172,AD$49,FALSE))</f>
        <v>6</v>
      </c>
      <c r="AE53" s="288">
        <f>IF($C53="","",VLOOKUP($C53,CTPit!$E$10:$BG$172,AE$49,FALSE))</f>
        <v>3</v>
      </c>
      <c r="AF53" s="289">
        <f>IF($C53="","",VLOOKUP($C53,CTPit!$E$10:$BG$172,AF$49,FALSE))</f>
        <v>6</v>
      </c>
      <c r="AG53" s="67">
        <f>IF($C53="","",VLOOKUP($C53,CTPit!$E$10:$BG$172,AG$49,FALSE))</f>
        <v>5.5</v>
      </c>
    </row>
    <row r="54" spans="1:33">
      <c r="A54" s="241">
        <v>4</v>
      </c>
      <c r="B54" s="36" t="s">
        <v>111</v>
      </c>
      <c r="C54" s="96" t="s">
        <v>409</v>
      </c>
      <c r="D54" s="37">
        <f>IF($C54="","",VLOOKUP($C54,CTPit!$E$10:$BG$214,D$4,FALSE))</f>
        <v>21</v>
      </c>
      <c r="E54" s="38" t="str">
        <f>IF($C54="","",VLOOKUP($C54,CTPit!$E$10:$BG$214,E$4+1,FALSE))</f>
        <v>R</v>
      </c>
      <c r="F54" s="241">
        <f t="shared" si="189"/>
        <v>0</v>
      </c>
      <c r="G54" s="241">
        <f t="shared" si="190"/>
        <v>0</v>
      </c>
      <c r="H54" s="241">
        <f t="shared" si="191"/>
        <v>0</v>
      </c>
      <c r="I54" s="100" t="str">
        <f>IF($C54="","",VLOOKUP($C54,CTPit!$E$10:$BG$172,I$49,FALSE))</f>
        <v>R</v>
      </c>
      <c r="J54" s="77">
        <f t="shared" si="188"/>
        <v>5</v>
      </c>
      <c r="K54" s="241">
        <f>IF($C54="","",VLOOKUP($C54,CTPit!$E$10:$BG$172,K$49,FALSE))</f>
        <v>5</v>
      </c>
      <c r="L54" s="241">
        <f>IF($C54="","",VLOOKUP($C54,CTPit!$E$10:$BG$172,L$49,FALSE))</f>
        <v>3</v>
      </c>
      <c r="M54" s="242">
        <f>IF($C54="","",VLOOKUP($C54,CTPit!$E$10:$BG$172,M$49,FALSE))</f>
        <v>3</v>
      </c>
      <c r="N54" s="241">
        <f>IF($C54="","",VLOOKUP($C54,CTPit!$E$10:$BG$172,N$49,FALSE))</f>
        <v>6</v>
      </c>
      <c r="O54" s="241">
        <f>IF($C54="","",VLOOKUP($C54,CTPit!$E$10:$BG$172,O$49,FALSE))</f>
        <v>4</v>
      </c>
      <c r="P54" s="241">
        <f>IF($C54="","",VLOOKUP($C54,CTPit!$E$10:$BG$172,P$49,FALSE))</f>
        <v>2</v>
      </c>
      <c r="Q54" s="241" t="str">
        <f>IF($C54="","",VLOOKUP($C54,CTPit!$E$10:$BG$172,Q$49,FALSE))</f>
        <v>-</v>
      </c>
      <c r="R54" s="241" t="str">
        <f>IF($C54="","",VLOOKUP($C54,CTPit!$E$10:$BG$172,R$49,FALSE))</f>
        <v>-</v>
      </c>
      <c r="S54" s="241">
        <f>IF($C54="","",VLOOKUP($C54,CTPit!$E$10:$BG$172,S$49,FALSE))</f>
        <v>5</v>
      </c>
      <c r="T54" s="241" t="str">
        <f>IF($C54="","",VLOOKUP($C54,CTPit!$E$10:$BG$172,T$49,FALSE))</f>
        <v>-</v>
      </c>
      <c r="U54" s="241">
        <f>IF($C54="","",VLOOKUP($C54,CTPit!$E$10:$BG$172,U$49,FALSE))</f>
        <v>5</v>
      </c>
      <c r="V54" s="241" t="str">
        <f>IF($C54="","",VLOOKUP($C54,CTPit!$E$10:$BG$172,V$49,FALSE))</f>
        <v>-</v>
      </c>
      <c r="W54" s="241" t="str">
        <f>IF($C54="","",VLOOKUP($C54,CTPit!$E$10:$BG$172,W$49,FALSE))</f>
        <v>-</v>
      </c>
      <c r="X54" s="241" t="str">
        <f>IF($C54="","",VLOOKUP($C54,CTPit!$E$10:$BG$172,X$49,FALSE))</f>
        <v>-</v>
      </c>
      <c r="Y54" s="242" t="str">
        <f>IF($C54="","",VLOOKUP($C54,CTPit!$E$10:$BG$172,Y$49,FALSE))</f>
        <v>-</v>
      </c>
      <c r="Z54" s="53" t="str">
        <f>IF($C54="","",VLOOKUP($C54,CTPit!$E$10:$BG$172,Z$49,FALSE))</f>
        <v>96-98 Mph</v>
      </c>
      <c r="AA54" s="241">
        <f>IF($C54="","",VLOOKUP($C54,CTPit!$E$10:$BG$172,AA$49,FALSE))</f>
        <v>9</v>
      </c>
      <c r="AB54" s="80">
        <f>IF($C54="","",VLOOKUP($C54,CTPit!$E$10:$BG$172,AB$49,FALSE))</f>
        <v>0.36</v>
      </c>
      <c r="AC54" s="67">
        <f>IF($C54="","",VLOOKUP($C54,CTPit!$E$10:$BG$172,AC$49,FALSE))</f>
        <v>4.4166666666666661</v>
      </c>
      <c r="AD54" s="288">
        <f>IF($C54="","",VLOOKUP($C54,CTPit!$E$10:$BG$172,AD$49,FALSE))</f>
        <v>5</v>
      </c>
      <c r="AE54" s="288">
        <f>IF($C54="","",VLOOKUP($C54,CTPit!$E$10:$BG$172,AE$49,FALSE))</f>
        <v>3</v>
      </c>
      <c r="AF54" s="289">
        <f>IF($C54="","",VLOOKUP($C54,CTPit!$E$10:$BG$172,AF$49,FALSE))</f>
        <v>5</v>
      </c>
      <c r="AG54" s="67">
        <f>IF($C54="","",VLOOKUP($C54,CTPit!$E$10:$BG$172,AG$49,FALSE))</f>
        <v>5.083333333333333</v>
      </c>
    </row>
    <row r="55" spans="1:33">
      <c r="A55" s="241">
        <v>5</v>
      </c>
      <c r="B55" s="36" t="s">
        <v>111</v>
      </c>
      <c r="C55" s="96" t="s">
        <v>434</v>
      </c>
      <c r="D55" s="37">
        <f>IF($C55="","",VLOOKUP($C55,CTPit!$E$10:$BG$214,D$4,FALSE))</f>
        <v>20</v>
      </c>
      <c r="E55" s="38" t="str">
        <f>IF($C55="","",VLOOKUP($C55,CTPit!$E$10:$BG$214,E$4+1,FALSE))</f>
        <v>R</v>
      </c>
      <c r="F55" s="241">
        <f t="shared" si="189"/>
        <v>0</v>
      </c>
      <c r="G55" s="241">
        <f t="shared" si="190"/>
        <v>0</v>
      </c>
      <c r="H55" s="241">
        <f t="shared" si="191"/>
        <v>0</v>
      </c>
      <c r="I55" s="100" t="str">
        <f>IF($C55="","",VLOOKUP($C55,CTPit!$E$10:$BG$172,I$49,FALSE))</f>
        <v>R</v>
      </c>
      <c r="J55" s="77">
        <f t="shared" si="188"/>
        <v>2</v>
      </c>
      <c r="K55" s="241">
        <f>IF($C55="","",VLOOKUP($C55,CTPit!$E$10:$BG$172,K$49,FALSE))</f>
        <v>5</v>
      </c>
      <c r="L55" s="241">
        <f>IF($C55="","",VLOOKUP($C55,CTPit!$E$10:$BG$172,L$49,FALSE))</f>
        <v>4</v>
      </c>
      <c r="M55" s="242">
        <f>IF($C55="","",VLOOKUP($C55,CTPit!$E$10:$BG$172,M$49,FALSE))</f>
        <v>2</v>
      </c>
      <c r="N55" s="241">
        <f>IF($C55="","",VLOOKUP($C55,CTPit!$E$10:$BG$172,N$49,FALSE))</f>
        <v>6</v>
      </c>
      <c r="O55" s="241" t="str">
        <f>IF($C55="","",VLOOKUP($C55,CTPit!$E$10:$BG$172,O$49,FALSE))</f>
        <v>-</v>
      </c>
      <c r="P55" s="241">
        <f>IF($C55="","",VLOOKUP($C55,CTPit!$E$10:$BG$172,P$49,FALSE))</f>
        <v>4</v>
      </c>
      <c r="Q55" s="241" t="str">
        <f>IF($C55="","",VLOOKUP($C55,CTPit!$E$10:$BG$172,Q$49,FALSE))</f>
        <v>-</v>
      </c>
      <c r="R55" s="241" t="str">
        <f>IF($C55="","",VLOOKUP($C55,CTPit!$E$10:$BG$172,R$49,FALSE))</f>
        <v>-</v>
      </c>
      <c r="S55" s="241" t="str">
        <f>IF($C55="","",VLOOKUP($C55,CTPit!$E$10:$BG$172,S$49,FALSE))</f>
        <v>-</v>
      </c>
      <c r="T55" s="241" t="str">
        <f>IF($C55="","",VLOOKUP($C55,CTPit!$E$10:$BG$172,T$49,FALSE))</f>
        <v>-</v>
      </c>
      <c r="U55" s="241" t="str">
        <f>IF($C55="","",VLOOKUP($C55,CTPit!$E$10:$BG$172,U$49,FALSE))</f>
        <v>-</v>
      </c>
      <c r="V55" s="241" t="str">
        <f>IF($C55="","",VLOOKUP($C55,CTPit!$E$10:$BG$172,V$49,FALSE))</f>
        <v>-</v>
      </c>
      <c r="W55" s="241" t="str">
        <f>IF($C55="","",VLOOKUP($C55,CTPit!$E$10:$BG$172,W$49,FALSE))</f>
        <v>-</v>
      </c>
      <c r="X55" s="241" t="str">
        <f>IF($C55="","",VLOOKUP($C55,CTPit!$E$10:$BG$172,X$49,FALSE))</f>
        <v>-</v>
      </c>
      <c r="Y55" s="242" t="str">
        <f>IF($C55="","",VLOOKUP($C55,CTPit!$E$10:$BG$172,Y$49,FALSE))</f>
        <v>-</v>
      </c>
      <c r="Z55" s="53" t="str">
        <f>IF($C55="","",VLOOKUP($C55,CTPit!$E$10:$BG$172,Z$49,FALSE))</f>
        <v>93-95 Mph</v>
      </c>
      <c r="AA55" s="241">
        <f>IF($C55="","",VLOOKUP($C55,CTPit!$E$10:$BG$172,AA$49,FALSE))</f>
        <v>10</v>
      </c>
      <c r="AB55" s="80">
        <f>IF($C55="","",VLOOKUP($C55,CTPit!$E$10:$BG$172,AB$49,FALSE))</f>
        <v>0.44</v>
      </c>
      <c r="AC55" s="67">
        <f>IF($C55="","",VLOOKUP($C55,CTPit!$E$10:$BG$172,AC$49,FALSE))</f>
        <v>3.9166666666666665</v>
      </c>
      <c r="AD55" s="288">
        <f>IF($C55="","",VLOOKUP($C55,CTPit!$E$10:$BG$172,AD$49,FALSE))</f>
        <v>7</v>
      </c>
      <c r="AE55" s="288">
        <f>IF($C55="","",VLOOKUP($C55,CTPit!$E$10:$BG$172,AE$49,FALSE))</f>
        <v>4</v>
      </c>
      <c r="AF55" s="289">
        <f>IF($C55="","",VLOOKUP($C55,CTPit!$E$10:$BG$172,AF$49,FALSE))</f>
        <v>4</v>
      </c>
      <c r="AG55" s="67">
        <f>IF($C55="","",VLOOKUP($C55,CTPit!$E$10:$BG$172,AG$49,FALSE))</f>
        <v>5.25</v>
      </c>
    </row>
    <row r="56" spans="1:33">
      <c r="A56" s="241">
        <v>6</v>
      </c>
      <c r="B56" s="39" t="s">
        <v>130</v>
      </c>
      <c r="C56" s="286"/>
      <c r="D56" s="40" t="str">
        <f>IF($C56="","",VLOOKUP($C56,CTPit!$E$10:$BG$214,D$4,FALSE))</f>
        <v/>
      </c>
      <c r="E56" s="42" t="str">
        <f>IF($C56="","",VLOOKUP($C56,CTPit!$E$10:$BG$214,E$4+1,FALSE))</f>
        <v/>
      </c>
      <c r="F56" s="239" t="str">
        <f t="shared" si="189"/>
        <v/>
      </c>
      <c r="G56" s="239" t="str">
        <f t="shared" si="190"/>
        <v/>
      </c>
      <c r="H56" s="239" t="str">
        <f t="shared" si="191"/>
        <v/>
      </c>
      <c r="I56" s="101" t="str">
        <f>IF($C56="","",VLOOKUP($C56,CTPit!$E$10:$BG$172,I$49,FALSE))</f>
        <v/>
      </c>
      <c r="J56" s="78" t="str">
        <f t="shared" si="188"/>
        <v/>
      </c>
      <c r="K56" s="239" t="str">
        <f>IF($C56="","",VLOOKUP($C56,CTPit!$E$10:$BG$172,K$49,FALSE))</f>
        <v/>
      </c>
      <c r="L56" s="239" t="str">
        <f>IF($C56="","",VLOOKUP($C56,CTPit!$E$10:$BG$172,L$49,FALSE))</f>
        <v/>
      </c>
      <c r="M56" s="240" t="str">
        <f>IF($C56="","",VLOOKUP($C56,CTPit!$E$10:$BG$172,M$49,FALSE))</f>
        <v/>
      </c>
      <c r="N56" s="239" t="str">
        <f>IF($C56="","",VLOOKUP($C56,CTPit!$E$10:$BG$172,N$49,FALSE))</f>
        <v/>
      </c>
      <c r="O56" s="239" t="str">
        <f>IF($C56="","",VLOOKUP($C56,CTPit!$E$10:$BG$172,O$49,FALSE))</f>
        <v/>
      </c>
      <c r="P56" s="239" t="str">
        <f>IF($C56="","",VLOOKUP($C56,CTPit!$E$10:$BG$172,P$49,FALSE))</f>
        <v/>
      </c>
      <c r="Q56" s="239" t="str">
        <f>IF($C56="","",VLOOKUP($C56,CTPit!$E$10:$BG$172,Q$49,FALSE))</f>
        <v/>
      </c>
      <c r="R56" s="239" t="str">
        <f>IF($C56="","",VLOOKUP($C56,CTPit!$E$10:$BG$172,R$49,FALSE))</f>
        <v/>
      </c>
      <c r="S56" s="239" t="str">
        <f>IF($C56="","",VLOOKUP($C56,CTPit!$E$10:$BG$172,S$49,FALSE))</f>
        <v/>
      </c>
      <c r="T56" s="239" t="str">
        <f>IF($C56="","",VLOOKUP($C56,CTPit!$E$10:$BG$172,T$49,FALSE))</f>
        <v/>
      </c>
      <c r="U56" s="239" t="str">
        <f>IF($C56="","",VLOOKUP($C56,CTPit!$E$10:$BG$172,U$49,FALSE))</f>
        <v/>
      </c>
      <c r="V56" s="239" t="str">
        <f>IF($C56="","",VLOOKUP($C56,CTPit!$E$10:$BG$172,V$49,FALSE))</f>
        <v/>
      </c>
      <c r="W56" s="239" t="str">
        <f>IF($C56="","",VLOOKUP($C56,CTPit!$E$10:$BG$172,W$49,FALSE))</f>
        <v/>
      </c>
      <c r="X56" s="239" t="str">
        <f>IF($C56="","",VLOOKUP($C56,CTPit!$E$10:$BG$172,X$49,FALSE))</f>
        <v/>
      </c>
      <c r="Y56" s="240" t="str">
        <f>IF($C56="","",VLOOKUP($C56,CTPit!$E$10:$BG$172,Y$49,FALSE))</f>
        <v/>
      </c>
      <c r="Z56" s="54" t="str">
        <f>IF($C56="","",VLOOKUP($C56,CTPit!$E$10:$BG$172,Z$49,FALSE))</f>
        <v/>
      </c>
      <c r="AA56" s="239" t="str">
        <f>IF($C56="","",VLOOKUP($C56,CTPit!$E$10:$BG$172,AA$49,FALSE))</f>
        <v/>
      </c>
      <c r="AB56" s="81" t="str">
        <f>IF($C56="","",VLOOKUP($C56,CTPit!$E$10:$BG$172,AB$49,FALSE))</f>
        <v/>
      </c>
      <c r="AC56" s="68" t="str">
        <f>IF($C56="","",VLOOKUP($C56,CTPit!$E$10:$BG$172,AC$49,FALSE))</f>
        <v/>
      </c>
      <c r="AD56" s="286" t="str">
        <f>IF($C56="","",VLOOKUP($C56,CTPit!$E$10:$BG$172,AD$49,FALSE))</f>
        <v/>
      </c>
      <c r="AE56" s="286" t="str">
        <f>IF($C56="","",VLOOKUP($C56,CTPit!$E$10:$BG$172,AE$49,FALSE))</f>
        <v/>
      </c>
      <c r="AF56" s="287" t="str">
        <f>IF($C56="","",VLOOKUP($C56,CTPit!$E$10:$BG$172,AF$49,FALSE))</f>
        <v/>
      </c>
      <c r="AG56" s="68" t="str">
        <f>IF($C56="","",VLOOKUP($C56,CTPit!$E$10:$BG$172,AG$49,FALSE))</f>
        <v/>
      </c>
    </row>
    <row r="57" spans="1:33">
      <c r="Z57" s="241"/>
      <c r="AA57" s="241"/>
      <c r="AB57" s="241"/>
    </row>
    <row r="58" spans="1:33" ht="57">
      <c r="A58" s="25" t="s">
        <v>196</v>
      </c>
      <c r="B58" s="236" t="s">
        <v>131</v>
      </c>
      <c r="C58" s="44" t="s">
        <v>121</v>
      </c>
      <c r="D58" s="44" t="s">
        <v>94</v>
      </c>
      <c r="E58" s="44" t="s">
        <v>105</v>
      </c>
      <c r="F58" s="55" t="s">
        <v>193</v>
      </c>
      <c r="G58" s="47" t="s">
        <v>194</v>
      </c>
      <c r="H58" s="56" t="s">
        <v>195</v>
      </c>
      <c r="I58" s="76" t="s">
        <v>217</v>
      </c>
      <c r="J58" s="47" t="s">
        <v>192</v>
      </c>
      <c r="K58" s="79" t="s">
        <v>189</v>
      </c>
      <c r="L58" s="74" t="s">
        <v>190</v>
      </c>
      <c r="M58" s="75" t="s">
        <v>191</v>
      </c>
      <c r="N58" s="74" t="s">
        <v>63</v>
      </c>
      <c r="O58" s="74" t="s">
        <v>65</v>
      </c>
      <c r="P58" s="74" t="s">
        <v>67</v>
      </c>
      <c r="Q58" s="74" t="s">
        <v>69</v>
      </c>
      <c r="R58" s="74" t="s">
        <v>71</v>
      </c>
      <c r="S58" s="74" t="s">
        <v>111</v>
      </c>
      <c r="T58" s="74" t="s">
        <v>74</v>
      </c>
      <c r="U58" s="74" t="s">
        <v>76</v>
      </c>
      <c r="V58" s="74" t="s">
        <v>78</v>
      </c>
      <c r="W58" s="74" t="s">
        <v>80</v>
      </c>
      <c r="X58" s="74" t="s">
        <v>82</v>
      </c>
      <c r="Y58" s="75" t="s">
        <v>84</v>
      </c>
      <c r="Z58" s="79" t="s">
        <v>203</v>
      </c>
      <c r="AA58" s="74" t="s">
        <v>202</v>
      </c>
      <c r="AB58" s="75" t="s">
        <v>204</v>
      </c>
      <c r="AC58" s="319" t="s">
        <v>647</v>
      </c>
      <c r="AD58" s="74" t="s">
        <v>189</v>
      </c>
      <c r="AE58" s="74" t="s">
        <v>190</v>
      </c>
      <c r="AF58" s="75" t="s">
        <v>191</v>
      </c>
      <c r="AG58" s="319" t="s">
        <v>201</v>
      </c>
    </row>
    <row r="59" spans="1:33">
      <c r="A59">
        <v>1</v>
      </c>
      <c r="B59" s="36" t="s">
        <v>112</v>
      </c>
      <c r="C59" s="37" t="s">
        <v>410</v>
      </c>
      <c r="D59" s="37">
        <f>IF($C59="","",VLOOKUP($C59,CTPit!$E$10:$BG$214,D$4,FALSE))</f>
        <v>21</v>
      </c>
      <c r="E59" s="37" t="str">
        <f>IF($C59="","",VLOOKUP($C59,CTPit!$E$10:$BG$214,E$4+1,FALSE))</f>
        <v>R</v>
      </c>
      <c r="F59" s="53">
        <f t="shared" ref="F59:F60" si="192">IF($C59="","",IF(AG59&gt;7,1,0))</f>
        <v>0</v>
      </c>
      <c r="G59" s="241">
        <f t="shared" ref="G59:G60" si="193">IF($C59="","",IF(AG59&gt;6.5,1,0))</f>
        <v>0</v>
      </c>
      <c r="H59" s="242">
        <f t="shared" ref="H59:H60" si="194">IF($C59="","",IF(AG59&gt;6,1,0))</f>
        <v>0</v>
      </c>
      <c r="I59" s="99" t="str">
        <f>IF($C59="","",VLOOKUP($C59,CTPit!$E$10:$BG$172,I$49,FALSE))</f>
        <v>R</v>
      </c>
      <c r="J59" s="241">
        <f>IF($C59="","",COUNT(N59:Y59))</f>
        <v>4</v>
      </c>
      <c r="K59" s="53">
        <f>IF($C59="","",VLOOKUP($C59,CTPit!$E$10:$BG$172,K$49,FALSE))</f>
        <v>3</v>
      </c>
      <c r="L59" s="241">
        <f>IF($C59="","",VLOOKUP($C59,CTPit!$E$10:$BG$172,L$49,FALSE))</f>
        <v>3</v>
      </c>
      <c r="M59" s="242">
        <f>IF($C59="","",VLOOKUP($C59,CTPit!$E$10:$BG$172,M$49,FALSE))</f>
        <v>4</v>
      </c>
      <c r="N59" s="241">
        <f>IF($C59="","",VLOOKUP($C59,CTPit!$E$10:$BG$172,N$49,FALSE))</f>
        <v>4</v>
      </c>
      <c r="O59" s="241">
        <f>IF($C59="","",VLOOKUP($C59,CTPit!$E$10:$BG$172,O$49,FALSE))</f>
        <v>2</v>
      </c>
      <c r="P59" s="241" t="str">
        <f>IF($C59="","",VLOOKUP($C59,CTPit!$E$10:$BG$172,P$49,FALSE))</f>
        <v>-</v>
      </c>
      <c r="Q59" s="241">
        <f>IF($C59="","",VLOOKUP($C59,CTPit!$E$10:$BG$172,Q$49,FALSE))</f>
        <v>3</v>
      </c>
      <c r="R59" s="241" t="str">
        <f>IF($C59="","",VLOOKUP($C59,CTPit!$E$10:$BG$172,R$49,FALSE))</f>
        <v>-</v>
      </c>
      <c r="S59" s="241">
        <f>IF($C59="","",VLOOKUP($C59,CTPit!$E$10:$BG$172,S$49,FALSE))</f>
        <v>4</v>
      </c>
      <c r="T59" s="241" t="str">
        <f>IF($C59="","",VLOOKUP($C59,CTPit!$E$10:$BG$172,T$49,FALSE))</f>
        <v>-</v>
      </c>
      <c r="U59" s="241" t="str">
        <f>IF($C59="","",VLOOKUP($C59,CTPit!$E$10:$BG$172,U$49,FALSE))</f>
        <v>-</v>
      </c>
      <c r="V59" s="241" t="str">
        <f>IF($C59="","",VLOOKUP($C59,CTPit!$E$10:$BG$172,V$49,FALSE))</f>
        <v>-</v>
      </c>
      <c r="W59" s="241" t="str">
        <f>IF($C59="","",VLOOKUP($C59,CTPit!$E$10:$BG$172,W$49,FALSE))</f>
        <v>-</v>
      </c>
      <c r="X59" s="241" t="str">
        <f>IF($C59="","",VLOOKUP($C59,CTPit!$E$10:$BG$172,X$49,FALSE))</f>
        <v>-</v>
      </c>
      <c r="Y59" s="242" t="str">
        <f>IF($C59="","",VLOOKUP($C59,CTPit!$E$10:$BG$172,Y$49,FALSE))</f>
        <v>-</v>
      </c>
      <c r="Z59" s="53" t="str">
        <f>IF($C59="","",VLOOKUP($C59,CTPit!$E$10:$BG$172,Z$49,FALSE))</f>
        <v>91-93 Mph</v>
      </c>
      <c r="AA59" s="241">
        <f>IF($C59="","",VLOOKUP($C59,CTPit!$E$10:$BG$172,AA$49,FALSE))</f>
        <v>9</v>
      </c>
      <c r="AB59" s="80">
        <f>IF($C59="","",VLOOKUP($C59,CTPit!$E$10:$BG$172,AB$49,FALSE))</f>
        <v>0.4</v>
      </c>
      <c r="AC59" s="320">
        <f>IF($C59="","",VLOOKUP($C59,CTPit!$E$10:$BG$172,AC$49,FALSE))</f>
        <v>3.5833333333333335</v>
      </c>
      <c r="AD59" s="288">
        <f>IF($C59="","",VLOOKUP($C59,CTPit!$E$10:$BG$172,AD$49,FALSE))</f>
        <v>3</v>
      </c>
      <c r="AE59" s="288">
        <f>IF($C59="","",VLOOKUP($C59,CTPit!$E$10:$BG$172,AE$49,FALSE))</f>
        <v>4</v>
      </c>
      <c r="AF59" s="289">
        <f>IF($C59="","",VLOOKUP($C59,CTPit!$E$10:$BG$172,AF$49,FALSE))</f>
        <v>6</v>
      </c>
      <c r="AG59" s="320">
        <f>IF($C59="","",VLOOKUP($C59,CTPit!$E$10:$BG$172,AG$49,FALSE))</f>
        <v>4.583333333333333</v>
      </c>
    </row>
    <row r="60" spans="1:33">
      <c r="A60">
        <v>2</v>
      </c>
      <c r="B60" s="39" t="s">
        <v>132</v>
      </c>
      <c r="C60" s="40"/>
      <c r="D60" s="40" t="str">
        <f>IF($C60="","",VLOOKUP($C60,CTPit!$E$10:$BG$214,D$4,FALSE))</f>
        <v/>
      </c>
      <c r="E60" s="40" t="str">
        <f>IF($C60="","",VLOOKUP($C60,CTPit!$E$10:$BG$214,E$4+1,FALSE))</f>
        <v/>
      </c>
      <c r="F60" s="54" t="str">
        <f t="shared" si="192"/>
        <v/>
      </c>
      <c r="G60" s="239" t="str">
        <f t="shared" si="193"/>
        <v/>
      </c>
      <c r="H60" s="240" t="str">
        <f t="shared" si="194"/>
        <v/>
      </c>
      <c r="I60" s="101" t="str">
        <f>IF($C60="","",VLOOKUP($C60,CTPit!$E$10:$BG$172,I$49,FALSE))</f>
        <v/>
      </c>
      <c r="J60" s="239" t="str">
        <f>IF($C60="","",COUNT(N60:Y60))</f>
        <v/>
      </c>
      <c r="K60" s="54" t="str">
        <f>IF($C60="","",VLOOKUP($C60,CTPit!$E$10:$BG$172,K$49,FALSE))</f>
        <v/>
      </c>
      <c r="L60" s="239" t="str">
        <f>IF($C60="","",VLOOKUP($C60,CTPit!$E$10:$BG$172,L$49,FALSE))</f>
        <v/>
      </c>
      <c r="M60" s="240" t="str">
        <f>IF($C60="","",VLOOKUP($C60,CTPit!$E$10:$BG$172,M$49,FALSE))</f>
        <v/>
      </c>
      <c r="N60" s="239" t="str">
        <f>IF($C60="","",VLOOKUP($C60,CTPit!$E$10:$BG$172,N$49,FALSE))</f>
        <v/>
      </c>
      <c r="O60" s="239" t="str">
        <f>IF($C60="","",VLOOKUP($C60,CTPit!$E$10:$BG$172,O$49,FALSE))</f>
        <v/>
      </c>
      <c r="P60" s="239" t="str">
        <f>IF($C60="","",VLOOKUP($C60,CTPit!$E$10:$BG$172,P$49,FALSE))</f>
        <v/>
      </c>
      <c r="Q60" s="239" t="str">
        <f>IF($C60="","",VLOOKUP($C60,CTPit!$E$10:$BG$172,Q$49,FALSE))</f>
        <v/>
      </c>
      <c r="R60" s="239" t="str">
        <f>IF($C60="","",VLOOKUP($C60,CTPit!$E$10:$BG$172,R$49,FALSE))</f>
        <v/>
      </c>
      <c r="S60" s="239" t="str">
        <f>IF($C60="","",VLOOKUP($C60,CTPit!$E$10:$BG$172,S$49,FALSE))</f>
        <v/>
      </c>
      <c r="T60" s="239" t="str">
        <f>IF($C60="","",VLOOKUP($C60,CTPit!$E$10:$BG$172,T$49,FALSE))</f>
        <v/>
      </c>
      <c r="U60" s="239" t="str">
        <f>IF($C60="","",VLOOKUP($C60,CTPit!$E$10:$BG$172,U$49,FALSE))</f>
        <v/>
      </c>
      <c r="V60" s="239" t="str">
        <f>IF($C60="","",VLOOKUP($C60,CTPit!$E$10:$BG$172,V$49,FALSE))</f>
        <v/>
      </c>
      <c r="W60" s="239" t="str">
        <f>IF($C60="","",VLOOKUP($C60,CTPit!$E$10:$BG$172,W$49,FALSE))</f>
        <v/>
      </c>
      <c r="X60" s="239" t="str">
        <f>IF($C60="","",VLOOKUP($C60,CTPit!$E$10:$BG$172,X$49,FALSE))</f>
        <v/>
      </c>
      <c r="Y60" s="240" t="str">
        <f>IF($C60="","",VLOOKUP($C60,CTPit!$E$10:$BG$172,Y$49,FALSE))</f>
        <v/>
      </c>
      <c r="Z60" s="54" t="str">
        <f>IF($C60="","",VLOOKUP($C60,CTPit!$E$10:$BG$172,Z$49,FALSE))</f>
        <v/>
      </c>
      <c r="AA60" s="239" t="str">
        <f>IF($C60="","",VLOOKUP($C60,CTPit!$E$10:$BG$172,AA$49,FALSE))</f>
        <v/>
      </c>
      <c r="AB60" s="81" t="str">
        <f>IF($C60="","",VLOOKUP($C60,CTPit!$E$10:$BG$172,AB$49,FALSE))</f>
        <v/>
      </c>
      <c r="AC60" s="68" t="str">
        <f>IF($C60="","",VLOOKUP($C60,CTPit!$E$10:$BG$172,AC$49,FALSE))</f>
        <v/>
      </c>
      <c r="AD60" s="286" t="str">
        <f>IF($C60="","",VLOOKUP($C60,CTPit!$E$10:$BG$172,AD$49,FALSE))</f>
        <v/>
      </c>
      <c r="AE60" s="286" t="str">
        <f>IF($C60="","",VLOOKUP($C60,CTPit!$E$10:$BG$172,AE$49,FALSE))</f>
        <v/>
      </c>
      <c r="AF60" s="287" t="str">
        <f>IF($C60="","",VLOOKUP($C60,CTPit!$E$10:$BG$172,AF$49,FALSE))</f>
        <v/>
      </c>
      <c r="AG60" s="68" t="str">
        <f>IF($C60="","",VLOOKUP($C60,CTPit!$E$10:$BG$172,AG$49,FALSE))</f>
        <v/>
      </c>
    </row>
    <row r="61" spans="1:33">
      <c r="Z61" s="241"/>
      <c r="AA61" s="241"/>
      <c r="AB61" s="241"/>
    </row>
    <row r="62" spans="1:33" ht="57">
      <c r="A62" s="25" t="s">
        <v>196</v>
      </c>
      <c r="B62" s="236" t="s">
        <v>133</v>
      </c>
      <c r="C62" s="44" t="s">
        <v>121</v>
      </c>
      <c r="D62" s="44" t="s">
        <v>94</v>
      </c>
      <c r="E62" s="44" t="s">
        <v>105</v>
      </c>
      <c r="F62" s="55" t="s">
        <v>193</v>
      </c>
      <c r="G62" s="47" t="s">
        <v>194</v>
      </c>
      <c r="H62" s="56" t="s">
        <v>195</v>
      </c>
      <c r="I62" s="76" t="s">
        <v>217</v>
      </c>
      <c r="J62" s="47" t="s">
        <v>192</v>
      </c>
      <c r="K62" s="79" t="s">
        <v>189</v>
      </c>
      <c r="L62" s="74" t="s">
        <v>190</v>
      </c>
      <c r="M62" s="75" t="s">
        <v>191</v>
      </c>
      <c r="N62" s="74" t="s">
        <v>63</v>
      </c>
      <c r="O62" s="74" t="s">
        <v>65</v>
      </c>
      <c r="P62" s="74" t="s">
        <v>67</v>
      </c>
      <c r="Q62" s="74" t="s">
        <v>69</v>
      </c>
      <c r="R62" s="74" t="s">
        <v>71</v>
      </c>
      <c r="S62" s="74" t="s">
        <v>111</v>
      </c>
      <c r="T62" s="74" t="s">
        <v>74</v>
      </c>
      <c r="U62" s="74" t="s">
        <v>76</v>
      </c>
      <c r="V62" s="74" t="s">
        <v>78</v>
      </c>
      <c r="W62" s="74" t="s">
        <v>80</v>
      </c>
      <c r="X62" s="74" t="s">
        <v>82</v>
      </c>
      <c r="Y62" s="75" t="s">
        <v>84</v>
      </c>
      <c r="Z62" s="79" t="s">
        <v>203</v>
      </c>
      <c r="AA62" s="74" t="s">
        <v>202</v>
      </c>
      <c r="AB62" s="75" t="s">
        <v>204</v>
      </c>
      <c r="AC62" s="319" t="s">
        <v>647</v>
      </c>
      <c r="AD62" s="74" t="s">
        <v>189</v>
      </c>
      <c r="AE62" s="74" t="s">
        <v>190</v>
      </c>
      <c r="AF62" s="75" t="s">
        <v>191</v>
      </c>
      <c r="AG62" s="319" t="s">
        <v>201</v>
      </c>
    </row>
    <row r="63" spans="1:33">
      <c r="A63">
        <v>1</v>
      </c>
      <c r="B63" s="36" t="s">
        <v>134</v>
      </c>
      <c r="C63" s="37" t="s">
        <v>513</v>
      </c>
      <c r="D63" s="37">
        <f>IF($C63="","",VLOOKUP($C63,CTPit!$E$10:$BG$214,D$4,FALSE))</f>
        <v>22</v>
      </c>
      <c r="E63" s="37" t="str">
        <f>IF($C63="","",VLOOKUP($C63,CTPit!$E$10:$BG$214,E$4+1,FALSE))</f>
        <v>L</v>
      </c>
      <c r="F63" s="53">
        <f t="shared" ref="F63:F72" si="195">IF($C63="","",IF(AG63&gt;7,1,0))</f>
        <v>0</v>
      </c>
      <c r="G63" s="241">
        <f t="shared" ref="G63:G72" si="196">IF($C63="","",IF(AG63&gt;6.5,1,0))</f>
        <v>0</v>
      </c>
      <c r="H63" s="242">
        <f t="shared" ref="H63:H72" si="197">IF($C63="","",IF(AG63&gt;6,1,0))</f>
        <v>0</v>
      </c>
      <c r="I63" s="100" t="str">
        <f>IF($C63="","",VLOOKUP($C63,CTPit!$E$10:$BG$172,I$49,FALSE))</f>
        <v>L</v>
      </c>
      <c r="J63" s="241">
        <f t="shared" ref="J63:J72" si="198">IF($C63="","",COUNT(N63:Y63))</f>
        <v>4</v>
      </c>
      <c r="K63" s="53">
        <f>IF($C63="","",VLOOKUP($C63,CTPit!$E$10:$BG$172,K$49,FALSE))</f>
        <v>6</v>
      </c>
      <c r="L63" s="241">
        <f>IF($C63="","",VLOOKUP($C63,CTPit!$E$10:$BG$172,L$49,FALSE))</f>
        <v>4</v>
      </c>
      <c r="M63" s="242">
        <f>IF($C63="","",VLOOKUP($C63,CTPit!$E$10:$BG$172,M$49,FALSE))</f>
        <v>2</v>
      </c>
      <c r="N63" s="241">
        <f>IF($C63="","",VLOOKUP($C63,CTPit!$E$10:$BG$172,N$49,FALSE))</f>
        <v>7</v>
      </c>
      <c r="O63" s="241">
        <f>IF($C63="","",VLOOKUP($C63,CTPit!$E$10:$BG$172,O$49,FALSE))</f>
        <v>4</v>
      </c>
      <c r="P63" s="241" t="str">
        <f>IF($C63="","",VLOOKUP($C63,CTPit!$E$10:$BG$172,P$49,FALSE))</f>
        <v>-</v>
      </c>
      <c r="Q63" s="241" t="str">
        <f>IF($C63="","",VLOOKUP($C63,CTPit!$E$10:$BG$172,Q$49,FALSE))</f>
        <v>-</v>
      </c>
      <c r="R63" s="241" t="str">
        <f>IF($C63="","",VLOOKUP($C63,CTPit!$E$10:$BG$172,R$49,FALSE))</f>
        <v>-</v>
      </c>
      <c r="S63" s="241" t="str">
        <f>IF($C63="","",VLOOKUP($C63,CTPit!$E$10:$BG$172,S$49,FALSE))</f>
        <v>-</v>
      </c>
      <c r="T63" s="241">
        <f>IF($C63="","",VLOOKUP($C63,CTPit!$E$10:$BG$172,T$49,FALSE))</f>
        <v>6</v>
      </c>
      <c r="U63" s="241">
        <f>IF($C63="","",VLOOKUP($C63,CTPit!$E$10:$BG$172,U$49,FALSE))</f>
        <v>6</v>
      </c>
      <c r="V63" s="241" t="str">
        <f>IF($C63="","",VLOOKUP($C63,CTPit!$E$10:$BG$172,V$49,FALSE))</f>
        <v>-</v>
      </c>
      <c r="W63" s="241" t="str">
        <f>IF($C63="","",VLOOKUP($C63,CTPit!$E$10:$BG$172,W$49,FALSE))</f>
        <v>-</v>
      </c>
      <c r="X63" s="241" t="str">
        <f>IF($C63="","",VLOOKUP($C63,CTPit!$E$10:$BG$172,X$49,FALSE))</f>
        <v>-</v>
      </c>
      <c r="Y63" s="242" t="str">
        <f>IF($C63="","",VLOOKUP($C63,CTPit!$E$10:$BG$172,Y$49,FALSE))</f>
        <v>-</v>
      </c>
      <c r="Z63" s="53" t="str">
        <f>IF($C63="","",VLOOKUP($C63,CTPit!$E$10:$BG$172,Z$49,FALSE))</f>
        <v>98-100 Mph</v>
      </c>
      <c r="AA63" s="241">
        <f>IF($C63="","",VLOOKUP($C63,CTPit!$E$10:$BG$172,AA$49,FALSE))</f>
        <v>4</v>
      </c>
      <c r="AB63" s="80">
        <f>IF($C63="","",VLOOKUP($C63,CTPit!$E$10:$BG$172,AB$49,FALSE))</f>
        <v>0.45</v>
      </c>
      <c r="AC63" s="320">
        <f>IF($C63="","",VLOOKUP($C63,CTPit!$E$10:$BG$172,AC$49,FALSE))</f>
        <v>4.5</v>
      </c>
      <c r="AD63" s="288">
        <f>IF($C63="","",VLOOKUP($C63,CTPit!$E$10:$BG$172,AD$49,FALSE))</f>
        <v>6</v>
      </c>
      <c r="AE63" s="288">
        <f>IF($C63="","",VLOOKUP($C63,CTPit!$E$10:$BG$172,AE$49,FALSE))</f>
        <v>4</v>
      </c>
      <c r="AF63" s="289">
        <f>IF($C63="","",VLOOKUP($C63,CTPit!$E$10:$BG$172,AF$49,FALSE))</f>
        <v>4</v>
      </c>
      <c r="AG63" s="320">
        <f>IF($C63="","",VLOOKUP($C63,CTPit!$E$10:$BG$172,AG$49,FALSE))</f>
        <v>5.166666666666667</v>
      </c>
    </row>
    <row r="64" spans="1:33">
      <c r="A64">
        <v>2</v>
      </c>
      <c r="B64" s="36" t="s">
        <v>135</v>
      </c>
      <c r="C64" s="65" t="s">
        <v>512</v>
      </c>
      <c r="D64" s="37">
        <f>IF($C64="","",VLOOKUP($C64,CTPit!$E$10:$BG$214,D$4,FALSE))</f>
        <v>22</v>
      </c>
      <c r="E64" s="37" t="str">
        <f>IF($C64="","",VLOOKUP($C64,CTPit!$E$10:$BG$214,E$4+1,FALSE))</f>
        <v>R</v>
      </c>
      <c r="F64" s="53">
        <f t="shared" si="195"/>
        <v>0</v>
      </c>
      <c r="G64" s="241">
        <f t="shared" si="196"/>
        <v>0</v>
      </c>
      <c r="H64" s="242">
        <f t="shared" si="197"/>
        <v>0</v>
      </c>
      <c r="I64" s="100" t="str">
        <f>IF($C64="","",VLOOKUP($C64,CTPit!$E$10:$BG$172,I$49,FALSE))</f>
        <v>R</v>
      </c>
      <c r="J64" s="241">
        <f t="shared" si="198"/>
        <v>6</v>
      </c>
      <c r="K64" s="53">
        <f>IF($C64="","",VLOOKUP($C64,CTPit!$E$10:$BG$172,K$49,FALSE))</f>
        <v>6</v>
      </c>
      <c r="L64" s="241">
        <f>IF($C64="","",VLOOKUP($C64,CTPit!$E$10:$BG$172,L$49,FALSE))</f>
        <v>4</v>
      </c>
      <c r="M64" s="242">
        <f>IF($C64="","",VLOOKUP($C64,CTPit!$E$10:$BG$172,M$49,FALSE))</f>
        <v>2</v>
      </c>
      <c r="N64" s="241">
        <f>IF($C64="","",VLOOKUP($C64,CTPit!$E$10:$BG$172,N$49,FALSE))</f>
        <v>6</v>
      </c>
      <c r="O64" s="241" t="str">
        <f>IF($C64="","",VLOOKUP($C64,CTPit!$E$10:$BG$172,O$49,FALSE))</f>
        <v>-</v>
      </c>
      <c r="P64" s="241">
        <f>IF($C64="","",VLOOKUP($C64,CTPit!$E$10:$BG$172,P$49,FALSE))</f>
        <v>6</v>
      </c>
      <c r="Q64" s="241">
        <f>IF($C64="","",VLOOKUP($C64,CTPit!$E$10:$BG$172,Q$49,FALSE))</f>
        <v>5</v>
      </c>
      <c r="R64" s="241" t="str">
        <f>IF($C64="","",VLOOKUP($C64,CTPit!$E$10:$BG$172,R$49,FALSE))</f>
        <v>-</v>
      </c>
      <c r="S64" s="241">
        <f>IF($C64="","",VLOOKUP($C64,CTPit!$E$10:$BG$172,S$49,FALSE))</f>
        <v>6</v>
      </c>
      <c r="T64" s="241" t="str">
        <f>IF($C64="","",VLOOKUP($C64,CTPit!$E$10:$BG$172,T$49,FALSE))</f>
        <v>-</v>
      </c>
      <c r="U64" s="241">
        <f>IF($C64="","",VLOOKUP($C64,CTPit!$E$10:$BG$172,U$49,FALSE))</f>
        <v>5</v>
      </c>
      <c r="V64" s="241">
        <f>IF($C64="","",VLOOKUP($C64,CTPit!$E$10:$BG$172,V$49,FALSE))</f>
        <v>5</v>
      </c>
      <c r="W64" s="241" t="str">
        <f>IF($C64="","",VLOOKUP($C64,CTPit!$E$10:$BG$172,W$49,FALSE))</f>
        <v>-</v>
      </c>
      <c r="X64" s="241" t="str">
        <f>IF($C64="","",VLOOKUP($C64,CTPit!$E$10:$BG$172,X$49,FALSE))</f>
        <v>-</v>
      </c>
      <c r="Y64" s="242" t="str">
        <f>IF($C64="","",VLOOKUP($C64,CTPit!$E$10:$BG$172,Y$49,FALSE))</f>
        <v>-</v>
      </c>
      <c r="Z64" s="53" t="str">
        <f>IF($C64="","",VLOOKUP($C64,CTPit!$E$10:$BG$172,Z$49,FALSE))</f>
        <v>94-96 Mph</v>
      </c>
      <c r="AA64" s="241">
        <f>IF($C64="","",VLOOKUP($C64,CTPit!$E$10:$BG$172,AA$49,FALSE))</f>
        <v>4</v>
      </c>
      <c r="AB64" s="80">
        <f>IF($C64="","",VLOOKUP($C64,CTPit!$E$10:$BG$172,AB$49,FALSE))</f>
        <v>0.53</v>
      </c>
      <c r="AC64" s="67">
        <f>IF($C64="","",VLOOKUP($C64,CTPit!$E$10:$BG$172,AC$49,FALSE))</f>
        <v>5</v>
      </c>
      <c r="AD64" s="288">
        <f>IF($C64="","",VLOOKUP($C64,CTPit!$E$10:$BG$172,AD$49,FALSE))</f>
        <v>6</v>
      </c>
      <c r="AE64" s="288">
        <f>IF($C64="","",VLOOKUP($C64,CTPit!$E$10:$BG$172,AE$49,FALSE))</f>
        <v>4</v>
      </c>
      <c r="AF64" s="289">
        <f>IF($C64="","",VLOOKUP($C64,CTPit!$E$10:$BG$172,AF$49,FALSE))</f>
        <v>4</v>
      </c>
      <c r="AG64" s="67">
        <f>IF($C64="","",VLOOKUP($C64,CTPit!$E$10:$BG$172,AG$49,FALSE))</f>
        <v>5.666666666666667</v>
      </c>
    </row>
    <row r="65" spans="1:33">
      <c r="A65">
        <v>3</v>
      </c>
      <c r="B65" s="36" t="s">
        <v>19</v>
      </c>
      <c r="C65" s="65" t="s">
        <v>435</v>
      </c>
      <c r="D65" s="37">
        <f>IF($C65="","",VLOOKUP($C65,CTPit!$E$10:$BG$214,D$4,FALSE))</f>
        <v>20</v>
      </c>
      <c r="E65" s="37" t="str">
        <f>IF($C65="","",VLOOKUP($C65,CTPit!$E$10:$BG$214,E$4+1,FALSE))</f>
        <v>L</v>
      </c>
      <c r="F65" s="53">
        <f t="shared" si="195"/>
        <v>0</v>
      </c>
      <c r="G65" s="241">
        <f t="shared" si="196"/>
        <v>0</v>
      </c>
      <c r="H65" s="242">
        <f t="shared" si="197"/>
        <v>0</v>
      </c>
      <c r="I65" s="100" t="str">
        <f>IF($C65="","",VLOOKUP($C65,CTPit!$E$10:$BG$172,I$49,FALSE))</f>
        <v>L</v>
      </c>
      <c r="J65" s="241">
        <f t="shared" si="198"/>
        <v>3</v>
      </c>
      <c r="K65" s="53">
        <f>IF($C65="","",VLOOKUP($C65,CTPit!$E$10:$BG$172,K$49,FALSE))</f>
        <v>6</v>
      </c>
      <c r="L65" s="241">
        <f>IF($C65="","",VLOOKUP($C65,CTPit!$E$10:$BG$172,L$49,FALSE))</f>
        <v>3</v>
      </c>
      <c r="M65" s="242">
        <f>IF($C65="","",VLOOKUP($C65,CTPit!$E$10:$BG$172,M$49,FALSE))</f>
        <v>1</v>
      </c>
      <c r="N65" s="241">
        <f>IF($C65="","",VLOOKUP($C65,CTPit!$E$10:$BG$172,N$49,FALSE))</f>
        <v>6</v>
      </c>
      <c r="O65" s="241">
        <f>IF($C65="","",VLOOKUP($C65,CTPit!$E$10:$BG$172,O$49,FALSE))</f>
        <v>1</v>
      </c>
      <c r="P65" s="241">
        <f>IF($C65="","",VLOOKUP($C65,CTPit!$E$10:$BG$172,P$49,FALSE))</f>
        <v>4</v>
      </c>
      <c r="Q65" s="241" t="str">
        <f>IF($C65="","",VLOOKUP($C65,CTPit!$E$10:$BG$172,Q$49,FALSE))</f>
        <v>-</v>
      </c>
      <c r="R65" s="241" t="str">
        <f>IF($C65="","",VLOOKUP($C65,CTPit!$E$10:$BG$172,R$49,FALSE))</f>
        <v>-</v>
      </c>
      <c r="S65" s="241" t="str">
        <f>IF($C65="","",VLOOKUP($C65,CTPit!$E$10:$BG$172,S$49,FALSE))</f>
        <v>-</v>
      </c>
      <c r="T65" s="241" t="str">
        <f>IF($C65="","",VLOOKUP($C65,CTPit!$E$10:$BG$172,T$49,FALSE))</f>
        <v>-</v>
      </c>
      <c r="U65" s="241" t="str">
        <f>IF($C65="","",VLOOKUP($C65,CTPit!$E$10:$BG$172,U$49,FALSE))</f>
        <v>-</v>
      </c>
      <c r="V65" s="241" t="str">
        <f>IF($C65="","",VLOOKUP($C65,CTPit!$E$10:$BG$172,V$49,FALSE))</f>
        <v>-</v>
      </c>
      <c r="W65" s="241" t="str">
        <f>IF($C65="","",VLOOKUP($C65,CTPit!$E$10:$BG$172,W$49,FALSE))</f>
        <v>-</v>
      </c>
      <c r="X65" s="241" t="str">
        <f>IF($C65="","",VLOOKUP($C65,CTPit!$E$10:$BG$172,X$49,FALSE))</f>
        <v>-</v>
      </c>
      <c r="Y65" s="242" t="str">
        <f>IF($C65="","",VLOOKUP($C65,CTPit!$E$10:$BG$172,Y$49,FALSE))</f>
        <v>-</v>
      </c>
      <c r="Z65" s="53" t="str">
        <f>IF($C65="","",VLOOKUP($C65,CTPit!$E$10:$BG$172,Z$49,FALSE))</f>
        <v>98-100 Mph</v>
      </c>
      <c r="AA65" s="241">
        <f>IF($C65="","",VLOOKUP($C65,CTPit!$E$10:$BG$172,AA$49,FALSE))</f>
        <v>10</v>
      </c>
      <c r="AB65" s="80">
        <f>IF($C65="","",VLOOKUP($C65,CTPit!$E$10:$BG$172,AB$49,FALSE))</f>
        <v>0.37</v>
      </c>
      <c r="AC65" s="67">
        <f>IF($C65="","",VLOOKUP($C65,CTPit!$E$10:$BG$172,AC$49,FALSE))</f>
        <v>3.5833333333333335</v>
      </c>
      <c r="AD65" s="288">
        <f>IF($C65="","",VLOOKUP($C65,CTPit!$E$10:$BG$172,AD$49,FALSE))</f>
        <v>6</v>
      </c>
      <c r="AE65" s="288">
        <f>IF($C65="","",VLOOKUP($C65,CTPit!$E$10:$BG$172,AE$49,FALSE))</f>
        <v>3</v>
      </c>
      <c r="AF65" s="289">
        <f>IF($C65="","",VLOOKUP($C65,CTPit!$E$10:$BG$172,AF$49,FALSE))</f>
        <v>2</v>
      </c>
      <c r="AG65" s="67">
        <f>IF($C65="","",VLOOKUP($C65,CTPit!$E$10:$BG$172,AG$49,FALSE))</f>
        <v>3.9166666666666665</v>
      </c>
    </row>
    <row r="66" spans="1:33">
      <c r="A66">
        <v>4</v>
      </c>
      <c r="B66" s="36" t="s">
        <v>19</v>
      </c>
      <c r="C66" s="65" t="s">
        <v>596</v>
      </c>
      <c r="D66" s="37">
        <f>IF($C66="","",VLOOKUP($C66,CTPit!$E$10:$BG$214,D$4,FALSE))</f>
        <v>20</v>
      </c>
      <c r="E66" s="37" t="str">
        <f>IF($C66="","",VLOOKUP($C66,CTPit!$E$10:$BG$214,E$4+1,FALSE))</f>
        <v>R</v>
      </c>
      <c r="F66" s="53">
        <f t="shared" si="195"/>
        <v>0</v>
      </c>
      <c r="G66" s="241">
        <f t="shared" si="196"/>
        <v>0</v>
      </c>
      <c r="H66" s="242">
        <f t="shared" si="197"/>
        <v>0</v>
      </c>
      <c r="I66" s="100" t="str">
        <f>IF($C66="","",VLOOKUP($C66,CTPit!$E$10:$BG$172,I$49,FALSE))</f>
        <v>R</v>
      </c>
      <c r="J66" s="241">
        <f t="shared" si="198"/>
        <v>2</v>
      </c>
      <c r="K66" s="53">
        <f>IF($C66="","",VLOOKUP($C66,CTPit!$E$10:$BG$172,K$49,FALSE))</f>
        <v>5</v>
      </c>
      <c r="L66" s="241">
        <f>IF($C66="","",VLOOKUP($C66,CTPit!$E$10:$BG$172,L$49,FALSE))</f>
        <v>3</v>
      </c>
      <c r="M66" s="242">
        <f>IF($C66="","",VLOOKUP($C66,CTPit!$E$10:$BG$172,M$49,FALSE))</f>
        <v>1</v>
      </c>
      <c r="N66" s="241">
        <f>IF($C66="","",VLOOKUP($C66,CTPit!$E$10:$BG$172,N$49,FALSE))</f>
        <v>6</v>
      </c>
      <c r="O66" s="241" t="str">
        <f>IF($C66="","",VLOOKUP($C66,CTPit!$E$10:$BG$172,O$49,FALSE))</f>
        <v>-</v>
      </c>
      <c r="P66" s="241">
        <f>IF($C66="","",VLOOKUP($C66,CTPit!$E$10:$BG$172,P$49,FALSE))</f>
        <v>4</v>
      </c>
      <c r="Q66" s="241" t="str">
        <f>IF($C66="","",VLOOKUP($C66,CTPit!$E$10:$BG$172,Q$49,FALSE))</f>
        <v>-</v>
      </c>
      <c r="R66" s="241" t="str">
        <f>IF($C66="","",VLOOKUP($C66,CTPit!$E$10:$BG$172,R$49,FALSE))</f>
        <v>-</v>
      </c>
      <c r="S66" s="241" t="str">
        <f>IF($C66="","",VLOOKUP($C66,CTPit!$E$10:$BG$172,S$49,FALSE))</f>
        <v>-</v>
      </c>
      <c r="T66" s="241" t="str">
        <f>IF($C66="","",VLOOKUP($C66,CTPit!$E$10:$BG$172,T$49,FALSE))</f>
        <v>-</v>
      </c>
      <c r="U66" s="241" t="str">
        <f>IF($C66="","",VLOOKUP($C66,CTPit!$E$10:$BG$172,U$49,FALSE))</f>
        <v>-</v>
      </c>
      <c r="V66" s="241" t="str">
        <f>IF($C66="","",VLOOKUP($C66,CTPit!$E$10:$BG$172,V$49,FALSE))</f>
        <v>-</v>
      </c>
      <c r="W66" s="241" t="str">
        <f>IF($C66="","",VLOOKUP($C66,CTPit!$E$10:$BG$172,W$49,FALSE))</f>
        <v>-</v>
      </c>
      <c r="X66" s="241" t="str">
        <f>IF($C66="","",VLOOKUP($C66,CTPit!$E$10:$BG$172,X$49,FALSE))</f>
        <v>-</v>
      </c>
      <c r="Y66" s="242" t="str">
        <f>IF($C66="","",VLOOKUP($C66,CTPit!$E$10:$BG$172,Y$49,FALSE))</f>
        <v>-</v>
      </c>
      <c r="Z66" s="53" t="str">
        <f>IF($C66="","",VLOOKUP($C66,CTPit!$E$10:$BG$172,Z$49,FALSE))</f>
        <v>94-96 Mph</v>
      </c>
      <c r="AA66" s="241">
        <f>IF($C66="","",VLOOKUP($C66,CTPit!$E$10:$BG$172,AA$49,FALSE))</f>
        <v>1</v>
      </c>
      <c r="AB66" s="80">
        <f>IF($C66="","",VLOOKUP($C66,CTPit!$E$10:$BG$172,AB$49,FALSE))</f>
        <v>0.35</v>
      </c>
      <c r="AC66" s="67">
        <f>IF($C66="","",VLOOKUP($C66,CTPit!$E$10:$BG$172,AC$49,FALSE))</f>
        <v>3.25</v>
      </c>
      <c r="AD66" s="288">
        <f>IF($C66="","",VLOOKUP($C66,CTPit!$E$10:$BG$172,AD$49,FALSE))</f>
        <v>7</v>
      </c>
      <c r="AE66" s="288">
        <f>IF($C66="","",VLOOKUP($C66,CTPit!$E$10:$BG$172,AE$49,FALSE))</f>
        <v>3</v>
      </c>
      <c r="AF66" s="289">
        <f>IF($C66="","",VLOOKUP($C66,CTPit!$E$10:$BG$172,AF$49,FALSE))</f>
        <v>5</v>
      </c>
      <c r="AG66" s="67">
        <f>IF($C66="","",VLOOKUP($C66,CTPit!$E$10:$BG$172,AG$49,FALSE))</f>
        <v>5.25</v>
      </c>
    </row>
    <row r="67" spans="1:33">
      <c r="A67">
        <v>5</v>
      </c>
      <c r="B67" s="36" t="s">
        <v>19</v>
      </c>
      <c r="C67" s="65" t="s">
        <v>471</v>
      </c>
      <c r="D67" s="37">
        <f>IF($C67="","",VLOOKUP($C67,CTPit!$E$10:$BG$214,D$4,FALSE))</f>
        <v>20</v>
      </c>
      <c r="E67" s="37" t="str">
        <f>IF($C67="","",VLOOKUP($C67,CTPit!$E$10:$BG$214,E$4+1,FALSE))</f>
        <v>L</v>
      </c>
      <c r="F67" s="53">
        <f t="shared" si="195"/>
        <v>0</v>
      </c>
      <c r="G67" s="241">
        <f t="shared" si="196"/>
        <v>0</v>
      </c>
      <c r="H67" s="242">
        <f t="shared" si="197"/>
        <v>0</v>
      </c>
      <c r="I67" s="100" t="str">
        <f>IF($C67="","",VLOOKUP($C67,CTPit!$E$10:$BG$172,I$49,FALSE))</f>
        <v>L</v>
      </c>
      <c r="J67" s="241">
        <f t="shared" ref="J67:J71" si="199">IF($C67="","",COUNT(N67:Y67))</f>
        <v>3</v>
      </c>
      <c r="K67" s="53">
        <f>IF($C67="","",VLOOKUP($C67,CTPit!$E$10:$BG$172,K$49,FALSE))</f>
        <v>4</v>
      </c>
      <c r="L67" s="241">
        <f>IF($C67="","",VLOOKUP($C67,CTPit!$E$10:$BG$172,L$49,FALSE))</f>
        <v>4</v>
      </c>
      <c r="M67" s="242">
        <f>IF($C67="","",VLOOKUP($C67,CTPit!$E$10:$BG$172,M$49,FALSE))</f>
        <v>1</v>
      </c>
      <c r="N67" s="241">
        <f>IF($C67="","",VLOOKUP($C67,CTPit!$E$10:$BG$172,N$49,FALSE))</f>
        <v>6</v>
      </c>
      <c r="O67" s="241" t="str">
        <f>IF($C67="","",VLOOKUP($C67,CTPit!$E$10:$BG$172,O$49,FALSE))</f>
        <v>-</v>
      </c>
      <c r="P67" s="241">
        <f>IF($C67="","",VLOOKUP($C67,CTPit!$E$10:$BG$172,P$49,FALSE))</f>
        <v>3</v>
      </c>
      <c r="Q67" s="241" t="str">
        <f>IF($C67="","",VLOOKUP($C67,CTPit!$E$10:$BG$172,Q$49,FALSE))</f>
        <v>-</v>
      </c>
      <c r="R67" s="241" t="str">
        <f>IF($C67="","",VLOOKUP($C67,CTPit!$E$10:$BG$172,R$49,FALSE))</f>
        <v>-</v>
      </c>
      <c r="S67" s="241" t="str">
        <f>IF($C67="","",VLOOKUP($C67,CTPit!$E$10:$BG$172,S$49,FALSE))</f>
        <v>-</v>
      </c>
      <c r="T67" s="241" t="str">
        <f>IF($C67="","",VLOOKUP($C67,CTPit!$E$10:$BG$172,T$49,FALSE))</f>
        <v>-</v>
      </c>
      <c r="U67" s="241" t="str">
        <f>IF($C67="","",VLOOKUP($C67,CTPit!$E$10:$BG$172,U$49,FALSE))</f>
        <v>-</v>
      </c>
      <c r="V67" s="241" t="str">
        <f>IF($C67="","",VLOOKUP($C67,CTPit!$E$10:$BG$172,V$49,FALSE))</f>
        <v>-</v>
      </c>
      <c r="W67" s="241" t="str">
        <f>IF($C67="","",VLOOKUP($C67,CTPit!$E$10:$BG$172,W$49,FALSE))</f>
        <v>-</v>
      </c>
      <c r="X67" s="241">
        <f>IF($C67="","",VLOOKUP($C67,CTPit!$E$10:$BG$172,X$49,FALSE))</f>
        <v>3</v>
      </c>
      <c r="Y67" s="242" t="str">
        <f>IF($C67="","",VLOOKUP($C67,CTPit!$E$10:$BG$172,Y$49,FALSE))</f>
        <v>-</v>
      </c>
      <c r="Z67" s="53" t="str">
        <f>IF($C67="","",VLOOKUP($C67,CTPit!$E$10:$BG$172,Z$49,FALSE))</f>
        <v>96-98 Mph</v>
      </c>
      <c r="AA67" s="241">
        <f>IF($C67="","",VLOOKUP($C67,CTPit!$E$10:$BG$172,AA$49,FALSE))</f>
        <v>7</v>
      </c>
      <c r="AB67" s="80">
        <f>IF($C67="","",VLOOKUP($C67,CTPit!$E$10:$BG$172,AB$49,FALSE))</f>
        <v>0.5</v>
      </c>
      <c r="AC67" s="67">
        <f>IF($C67="","",VLOOKUP($C67,CTPit!$E$10:$BG$172,AC$49,FALSE))</f>
        <v>3.25</v>
      </c>
      <c r="AD67" s="288">
        <f>IF($C67="","",VLOOKUP($C67,CTPit!$E$10:$BG$172,AD$49,FALSE))</f>
        <v>5</v>
      </c>
      <c r="AE67" s="288">
        <f>IF($C67="","",VLOOKUP($C67,CTPit!$E$10:$BG$172,AE$49,FALSE))</f>
        <v>5</v>
      </c>
      <c r="AF67" s="289">
        <f>IF($C67="","",VLOOKUP($C67,CTPit!$E$10:$BG$172,AF$49,FALSE))</f>
        <v>2</v>
      </c>
      <c r="AG67" s="67">
        <f>IF($C67="","",VLOOKUP($C67,CTPit!$E$10:$BG$172,AG$49,FALSE))</f>
        <v>4.25</v>
      </c>
    </row>
    <row r="68" spans="1:33">
      <c r="A68">
        <v>6</v>
      </c>
      <c r="B68" s="36" t="s">
        <v>19</v>
      </c>
      <c r="C68" s="65" t="s">
        <v>637</v>
      </c>
      <c r="D68" s="37">
        <f>IF($C68="","",VLOOKUP($C68,CTPit!$E$10:$BG$214,D$4,FALSE))</f>
        <v>18</v>
      </c>
      <c r="E68" s="37" t="str">
        <f>IF($C68="","",VLOOKUP($C68,CTPit!$E$10:$BG$214,E$4+1,FALSE))</f>
        <v>R</v>
      </c>
      <c r="F68" s="53">
        <f t="shared" si="195"/>
        <v>0</v>
      </c>
      <c r="G68" s="241">
        <f t="shared" si="196"/>
        <v>1</v>
      </c>
      <c r="H68" s="242">
        <f t="shared" si="197"/>
        <v>1</v>
      </c>
      <c r="I68" s="100" t="str">
        <f>IF($C68="","",VLOOKUP($C68,CTPit!$E$10:$BG$172,I$49,FALSE))</f>
        <v>R</v>
      </c>
      <c r="J68" s="241">
        <f t="shared" si="199"/>
        <v>4</v>
      </c>
      <c r="K68" s="53">
        <f>IF($C68="","",VLOOKUP($C68,CTPit!$E$10:$BG$172,K$49,FALSE))</f>
        <v>2</v>
      </c>
      <c r="L68" s="241">
        <f>IF($C68="","",VLOOKUP($C68,CTPit!$E$10:$BG$172,L$49,FALSE))</f>
        <v>5</v>
      </c>
      <c r="M68" s="242">
        <f>IF($C68="","",VLOOKUP($C68,CTPit!$E$10:$BG$172,M$49,FALSE))</f>
        <v>1</v>
      </c>
      <c r="N68" s="241" t="str">
        <f>IF($C68="","",VLOOKUP($C68,CTPit!$E$10:$BG$172,N$49,FALSE))</f>
        <v>-</v>
      </c>
      <c r="O68" s="241">
        <f>IF($C68="","",VLOOKUP($C68,CTPit!$E$10:$BG$172,O$49,FALSE))</f>
        <v>1</v>
      </c>
      <c r="P68" s="241">
        <f>IF($C68="","",VLOOKUP($C68,CTPit!$E$10:$BG$172,P$49,FALSE))</f>
        <v>3</v>
      </c>
      <c r="Q68" s="241">
        <f>IF($C68="","",VLOOKUP($C68,CTPit!$E$10:$BG$172,Q$49,FALSE))</f>
        <v>3</v>
      </c>
      <c r="R68" s="241" t="str">
        <f>IF($C68="","",VLOOKUP($C68,CTPit!$E$10:$BG$172,R$49,FALSE))</f>
        <v>-</v>
      </c>
      <c r="S68" s="241" t="str">
        <f>IF($C68="","",VLOOKUP($C68,CTPit!$E$10:$BG$172,S$49,FALSE))</f>
        <v>-</v>
      </c>
      <c r="T68" s="241">
        <f>IF($C68="","",VLOOKUP($C68,CTPit!$E$10:$BG$172,T$49,FALSE))</f>
        <v>4</v>
      </c>
      <c r="U68" s="241" t="str">
        <f>IF($C68="","",VLOOKUP($C68,CTPit!$E$10:$BG$172,U$49,FALSE))</f>
        <v>-</v>
      </c>
      <c r="V68" s="241" t="str">
        <f>IF($C68="","",VLOOKUP($C68,CTPit!$E$10:$BG$172,V$49,FALSE))</f>
        <v>-</v>
      </c>
      <c r="W68" s="241" t="str">
        <f>IF($C68="","",VLOOKUP($C68,CTPit!$E$10:$BG$172,W$49,FALSE))</f>
        <v>-</v>
      </c>
      <c r="X68" s="241" t="str">
        <f>IF($C68="","",VLOOKUP($C68,CTPit!$E$10:$BG$172,X$49,FALSE))</f>
        <v>-</v>
      </c>
      <c r="Y68" s="242" t="str">
        <f>IF($C68="","",VLOOKUP($C68,CTPit!$E$10:$BG$172,Y$49,FALSE))</f>
        <v>-</v>
      </c>
      <c r="Z68" s="53" t="str">
        <f>IF($C68="","",VLOOKUP($C68,CTPit!$E$10:$BG$172,Z$49,FALSE))</f>
        <v>94-96 Mph</v>
      </c>
      <c r="AA68" s="241">
        <f>IF($C68="","",VLOOKUP($C68,CTPit!$E$10:$BG$172,AA$49,FALSE))</f>
        <v>7</v>
      </c>
      <c r="AB68" s="80">
        <f>IF($C68="","",VLOOKUP($C68,CTPit!$E$10:$BG$172,AB$49,FALSE))</f>
        <v>0.59</v>
      </c>
      <c r="AC68" s="67">
        <f>IF($C68="","",VLOOKUP($C68,CTPit!$E$10:$BG$172,AC$49,FALSE))</f>
        <v>3.1666666666666665</v>
      </c>
      <c r="AD68" s="288">
        <f>IF($C68="","",VLOOKUP($C68,CTPit!$E$10:$BG$172,AD$49,FALSE))</f>
        <v>6</v>
      </c>
      <c r="AE68" s="288">
        <f>IF($C68="","",VLOOKUP($C68,CTPit!$E$10:$BG$172,AE$49,FALSE))</f>
        <v>7</v>
      </c>
      <c r="AF68" s="289">
        <f>IF($C68="","",VLOOKUP($C68,CTPit!$E$10:$BG$172,AF$49,FALSE))</f>
        <v>5</v>
      </c>
      <c r="AG68" s="67">
        <f>IF($C68="","",VLOOKUP($C68,CTPit!$E$10:$BG$172,AG$49,FALSE))</f>
        <v>6.75</v>
      </c>
    </row>
    <row r="69" spans="1:33">
      <c r="A69">
        <v>7</v>
      </c>
      <c r="B69" s="36" t="s">
        <v>19</v>
      </c>
      <c r="C69" s="65" t="s">
        <v>515</v>
      </c>
      <c r="D69" s="37">
        <f>IF($C69="","",VLOOKUP($C69,CTPit!$E$10:$BG$214,D$4,FALSE))</f>
        <v>22</v>
      </c>
      <c r="E69" s="37" t="str">
        <f>IF($C69="","",VLOOKUP($C69,CTPit!$E$10:$BG$214,E$4+1,FALSE))</f>
        <v>R</v>
      </c>
      <c r="F69" s="53">
        <f t="shared" si="195"/>
        <v>0</v>
      </c>
      <c r="G69" s="241">
        <f t="shared" si="196"/>
        <v>0</v>
      </c>
      <c r="H69" s="242">
        <f t="shared" si="197"/>
        <v>0</v>
      </c>
      <c r="I69" s="100" t="str">
        <f>IF($C69="","",VLOOKUP($C69,CTPit!$E$10:$BG$172,I$49,FALSE))</f>
        <v>R</v>
      </c>
      <c r="J69" s="241">
        <f t="shared" si="199"/>
        <v>4</v>
      </c>
      <c r="K69" s="53">
        <f>IF($C69="","",VLOOKUP($C69,CTPit!$E$10:$BG$172,K$49,FALSE))</f>
        <v>5</v>
      </c>
      <c r="L69" s="241">
        <f>IF($C69="","",VLOOKUP($C69,CTPit!$E$10:$BG$172,L$49,FALSE))</f>
        <v>4</v>
      </c>
      <c r="M69" s="242">
        <f>IF($C69="","",VLOOKUP($C69,CTPit!$E$10:$BG$172,M$49,FALSE))</f>
        <v>2</v>
      </c>
      <c r="N69" s="241">
        <f>IF($C69="","",VLOOKUP($C69,CTPit!$E$10:$BG$172,N$49,FALSE))</f>
        <v>6</v>
      </c>
      <c r="O69" s="241">
        <f>IF($C69="","",VLOOKUP($C69,CTPit!$E$10:$BG$172,O$49,FALSE))</f>
        <v>2</v>
      </c>
      <c r="P69" s="241">
        <f>IF($C69="","",VLOOKUP($C69,CTPit!$E$10:$BG$172,P$49,FALSE))</f>
        <v>5</v>
      </c>
      <c r="Q69" s="241">
        <f>IF($C69="","",VLOOKUP($C69,CTPit!$E$10:$BG$172,Q$49,FALSE))</f>
        <v>3</v>
      </c>
      <c r="R69" s="241" t="str">
        <f>IF($C69="","",VLOOKUP($C69,CTPit!$E$10:$BG$172,R$49,FALSE))</f>
        <v>-</v>
      </c>
      <c r="S69" s="241" t="str">
        <f>IF($C69="","",VLOOKUP($C69,CTPit!$E$10:$BG$172,S$49,FALSE))</f>
        <v>-</v>
      </c>
      <c r="T69" s="241" t="str">
        <f>IF($C69="","",VLOOKUP($C69,CTPit!$E$10:$BG$172,T$49,FALSE))</f>
        <v>-</v>
      </c>
      <c r="U69" s="241" t="str">
        <f>IF($C69="","",VLOOKUP($C69,CTPit!$E$10:$BG$172,U$49,FALSE))</f>
        <v>-</v>
      </c>
      <c r="V69" s="241" t="str">
        <f>IF($C69="","",VLOOKUP($C69,CTPit!$E$10:$BG$172,V$49,FALSE))</f>
        <v>-</v>
      </c>
      <c r="W69" s="241" t="str">
        <f>IF($C69="","",VLOOKUP($C69,CTPit!$E$10:$BG$172,W$49,FALSE))</f>
        <v>-</v>
      </c>
      <c r="X69" s="241" t="str">
        <f>IF($C69="","",VLOOKUP($C69,CTPit!$E$10:$BG$172,X$49,FALSE))</f>
        <v>-</v>
      </c>
      <c r="Y69" s="242" t="str">
        <f>IF($C69="","",VLOOKUP($C69,CTPit!$E$10:$BG$172,Y$49,FALSE))</f>
        <v>-</v>
      </c>
      <c r="Z69" s="53" t="str">
        <f>IF($C69="","",VLOOKUP($C69,CTPit!$E$10:$BG$172,Z$49,FALSE))</f>
        <v>95-97 Mph</v>
      </c>
      <c r="AA69" s="241">
        <f>IF($C69="","",VLOOKUP($C69,CTPit!$E$10:$BG$172,AA$49,FALSE))</f>
        <v>6</v>
      </c>
      <c r="AB69" s="80">
        <f>IF($C69="","",VLOOKUP($C69,CTPit!$E$10:$BG$172,AB$49,FALSE))</f>
        <v>0.44</v>
      </c>
      <c r="AC69" s="67">
        <f>IF($C69="","",VLOOKUP($C69,CTPit!$E$10:$BG$172,AC$49,FALSE))</f>
        <v>4.1666666666666661</v>
      </c>
      <c r="AD69" s="288">
        <f>IF($C69="","",VLOOKUP($C69,CTPit!$E$10:$BG$172,AD$49,FALSE))</f>
        <v>6</v>
      </c>
      <c r="AE69" s="288">
        <f>IF($C69="","",VLOOKUP($C69,CTPit!$E$10:$BG$172,AE$49,FALSE))</f>
        <v>4</v>
      </c>
      <c r="AF69" s="289">
        <f>IF($C69="","",VLOOKUP($C69,CTPit!$E$10:$BG$172,AF$49,FALSE))</f>
        <v>4</v>
      </c>
      <c r="AG69" s="67">
        <f>IF($C69="","",VLOOKUP($C69,CTPit!$E$10:$BG$172,AG$49,FALSE))</f>
        <v>5.166666666666667</v>
      </c>
    </row>
    <row r="70" spans="1:33">
      <c r="A70">
        <v>8</v>
      </c>
      <c r="B70" s="36" t="s">
        <v>19</v>
      </c>
      <c r="C70" s="65" t="s">
        <v>640</v>
      </c>
      <c r="D70" s="37">
        <f>IF($C70="","",VLOOKUP($C70,CTPit!$E$10:$BG$214,D$4,FALSE))</f>
        <v>21</v>
      </c>
      <c r="E70" s="37" t="str">
        <f>IF($C70="","",VLOOKUP($C70,CTPit!$E$10:$BG$214,E$4+1,FALSE))</f>
        <v>L</v>
      </c>
      <c r="F70" s="53">
        <f t="shared" si="195"/>
        <v>0</v>
      </c>
      <c r="G70" s="241">
        <f t="shared" si="196"/>
        <v>0</v>
      </c>
      <c r="H70" s="242">
        <f t="shared" si="197"/>
        <v>0</v>
      </c>
      <c r="I70" s="100" t="str">
        <f>IF($C70="","",VLOOKUP($C70,CTPit!$E$10:$BG$172,I$49,FALSE))</f>
        <v>L</v>
      </c>
      <c r="J70" s="241">
        <f t="shared" si="199"/>
        <v>3</v>
      </c>
      <c r="K70" s="53">
        <f>IF($C70="","",VLOOKUP($C70,CTPit!$E$10:$BG$172,K$49,FALSE))</f>
        <v>3</v>
      </c>
      <c r="L70" s="241">
        <f>IF($C70="","",VLOOKUP($C70,CTPit!$E$10:$BG$172,L$49,FALSE))</f>
        <v>6</v>
      </c>
      <c r="M70" s="242">
        <f>IF($C70="","",VLOOKUP($C70,CTPit!$E$10:$BG$172,M$49,FALSE))</f>
        <v>2</v>
      </c>
      <c r="N70" s="241">
        <f>IF($C70="","",VLOOKUP($C70,CTPit!$E$10:$BG$172,N$49,FALSE))</f>
        <v>4</v>
      </c>
      <c r="O70" s="241">
        <f>IF($C70="","",VLOOKUP($C70,CTPit!$E$10:$BG$172,O$49,FALSE))</f>
        <v>2</v>
      </c>
      <c r="P70" s="241">
        <f>IF($C70="","",VLOOKUP($C70,CTPit!$E$10:$BG$172,P$49,FALSE))</f>
        <v>2</v>
      </c>
      <c r="Q70" s="241" t="str">
        <f>IF($C70="","",VLOOKUP($C70,CTPit!$E$10:$BG$172,Q$49,FALSE))</f>
        <v>-</v>
      </c>
      <c r="R70" s="241" t="str">
        <f>IF($C70="","",VLOOKUP($C70,CTPit!$E$10:$BG$172,R$49,FALSE))</f>
        <v>-</v>
      </c>
      <c r="S70" s="241" t="str">
        <f>IF($C70="","",VLOOKUP($C70,CTPit!$E$10:$BG$172,S$49,FALSE))</f>
        <v>-</v>
      </c>
      <c r="T70" s="241" t="str">
        <f>IF($C70="","",VLOOKUP($C70,CTPit!$E$10:$BG$172,T$49,FALSE))</f>
        <v>-</v>
      </c>
      <c r="U70" s="241" t="str">
        <f>IF($C70="","",VLOOKUP($C70,CTPit!$E$10:$BG$172,U$49,FALSE))</f>
        <v>-</v>
      </c>
      <c r="V70" s="241" t="str">
        <f>IF($C70="","",VLOOKUP($C70,CTPit!$E$10:$BG$172,V$49,FALSE))</f>
        <v>-</v>
      </c>
      <c r="W70" s="241" t="str">
        <f>IF($C70="","",VLOOKUP($C70,CTPit!$E$10:$BG$172,W$49,FALSE))</f>
        <v>-</v>
      </c>
      <c r="X70" s="241" t="str">
        <f>IF($C70="","",VLOOKUP($C70,CTPit!$E$10:$BG$172,X$49,FALSE))</f>
        <v>-</v>
      </c>
      <c r="Y70" s="242" t="str">
        <f>IF($C70="","",VLOOKUP($C70,CTPit!$E$10:$BG$172,Y$49,FALSE))</f>
        <v>-</v>
      </c>
      <c r="Z70" s="53" t="str">
        <f>IF($C70="","",VLOOKUP($C70,CTPit!$E$10:$BG$172,Z$49,FALSE))</f>
        <v>89-90 Mph</v>
      </c>
      <c r="AA70" s="241">
        <f>IF($C70="","",VLOOKUP($C70,CTPit!$E$10:$BG$172,AA$49,FALSE))</f>
        <v>2</v>
      </c>
      <c r="AB70" s="80">
        <f>IF($C70="","",VLOOKUP($C70,CTPit!$E$10:$BG$172,AB$49,FALSE))</f>
        <v>0.55000000000000004</v>
      </c>
      <c r="AC70" s="67">
        <f>IF($C70="","",VLOOKUP($C70,CTPit!$E$10:$BG$172,AC$49,FALSE))</f>
        <v>3.6666666666666665</v>
      </c>
      <c r="AD70" s="288">
        <f>IF($C70="","",VLOOKUP($C70,CTPit!$E$10:$BG$172,AD$49,FALSE))</f>
        <v>3</v>
      </c>
      <c r="AE70" s="288">
        <f>IF($C70="","",VLOOKUP($C70,CTPit!$E$10:$BG$172,AE$49,FALSE))</f>
        <v>7</v>
      </c>
      <c r="AF70" s="289">
        <f>IF($C70="","",VLOOKUP($C70,CTPit!$E$10:$BG$172,AF$49,FALSE))</f>
        <v>5</v>
      </c>
      <c r="AG70" s="67">
        <f>IF($C70="","",VLOOKUP($C70,CTPit!$E$10:$BG$172,AG$49,FALSE))</f>
        <v>5</v>
      </c>
    </row>
    <row r="71" spans="1:33">
      <c r="A71">
        <v>9</v>
      </c>
      <c r="B71" s="36" t="s">
        <v>19</v>
      </c>
      <c r="C71" s="65" t="s">
        <v>641</v>
      </c>
      <c r="D71" s="37">
        <f>IF($C71="","",VLOOKUP($C71,CTPit!$E$10:$BG$214,D$4,FALSE))</f>
        <v>18</v>
      </c>
      <c r="E71" s="37" t="str">
        <f>IF($C71="","",VLOOKUP($C71,CTPit!$E$10:$BG$214,E$4+1,FALSE))</f>
        <v>R</v>
      </c>
      <c r="F71" s="53">
        <f t="shared" si="195"/>
        <v>0</v>
      </c>
      <c r="G71" s="241">
        <f t="shared" si="196"/>
        <v>0</v>
      </c>
      <c r="H71" s="242">
        <f t="shared" si="197"/>
        <v>0</v>
      </c>
      <c r="I71" s="100" t="str">
        <f>IF($C71="","",VLOOKUP($C71,CTPit!$E$10:$BG$172,I$49,FALSE))</f>
        <v>R</v>
      </c>
      <c r="J71" s="241">
        <f t="shared" si="199"/>
        <v>3</v>
      </c>
      <c r="K71" s="53">
        <f>IF($C71="","",VLOOKUP($C71,CTPit!$E$10:$BG$172,K$49,FALSE))</f>
        <v>3</v>
      </c>
      <c r="L71" s="241">
        <f>IF($C71="","",VLOOKUP($C71,CTPit!$E$10:$BG$172,L$49,FALSE))</f>
        <v>4</v>
      </c>
      <c r="M71" s="242">
        <f>IF($C71="","",VLOOKUP($C71,CTPit!$E$10:$BG$172,M$49,FALSE))</f>
        <v>1</v>
      </c>
      <c r="N71" s="241">
        <f>IF($C71="","",VLOOKUP($C71,CTPit!$E$10:$BG$172,N$49,FALSE))</f>
        <v>3</v>
      </c>
      <c r="O71" s="241">
        <f>IF($C71="","",VLOOKUP($C71,CTPit!$E$10:$BG$172,O$49,FALSE))</f>
        <v>1</v>
      </c>
      <c r="P71" s="241" t="str">
        <f>IF($C71="","",VLOOKUP($C71,CTPit!$E$10:$BG$172,P$49,FALSE))</f>
        <v>-</v>
      </c>
      <c r="Q71" s="241" t="str">
        <f>IF($C71="","",VLOOKUP($C71,CTPit!$E$10:$BG$172,Q$49,FALSE))</f>
        <v>-</v>
      </c>
      <c r="R71" s="241" t="str">
        <f>IF($C71="","",VLOOKUP($C71,CTPit!$E$10:$BG$172,R$49,FALSE))</f>
        <v>-</v>
      </c>
      <c r="S71" s="241" t="str">
        <f>IF($C71="","",VLOOKUP($C71,CTPit!$E$10:$BG$172,S$49,FALSE))</f>
        <v>-</v>
      </c>
      <c r="T71" s="241">
        <f>IF($C71="","",VLOOKUP($C71,CTPit!$E$10:$BG$172,T$49,FALSE))</f>
        <v>3</v>
      </c>
      <c r="U71" s="241" t="str">
        <f>IF($C71="","",VLOOKUP($C71,CTPit!$E$10:$BG$172,U$49,FALSE))</f>
        <v>-</v>
      </c>
      <c r="V71" s="241" t="str">
        <f>IF($C71="","",VLOOKUP($C71,CTPit!$E$10:$BG$172,V$49,FALSE))</f>
        <v>-</v>
      </c>
      <c r="W71" s="241" t="str">
        <f>IF($C71="","",VLOOKUP($C71,CTPit!$E$10:$BG$172,W$49,FALSE))</f>
        <v>-</v>
      </c>
      <c r="X71" s="241" t="str">
        <f>IF($C71="","",VLOOKUP($C71,CTPit!$E$10:$BG$172,X$49,FALSE))</f>
        <v>-</v>
      </c>
      <c r="Y71" s="242" t="str">
        <f>IF($C71="","",VLOOKUP($C71,CTPit!$E$10:$BG$172,Y$49,FALSE))</f>
        <v>-</v>
      </c>
      <c r="Z71" s="53" t="str">
        <f>IF($C71="","",VLOOKUP($C71,CTPit!$E$10:$BG$172,Z$49,FALSE))</f>
        <v>85-87 Mph</v>
      </c>
      <c r="AA71" s="241">
        <f>IF($C71="","",VLOOKUP($C71,CTPit!$E$10:$BG$172,AA$49,FALSE))</f>
        <v>5</v>
      </c>
      <c r="AB71" s="80">
        <f>IF($C71="","",VLOOKUP($C71,CTPit!$E$10:$BG$172,AB$49,FALSE))</f>
        <v>0.48</v>
      </c>
      <c r="AC71" s="67">
        <f>IF($C71="","",VLOOKUP($C71,CTPit!$E$10:$BG$172,AC$49,FALSE))</f>
        <v>2.6666666666666665</v>
      </c>
      <c r="AD71" s="288">
        <f>IF($C71="","",VLOOKUP($C71,CTPit!$E$10:$BG$172,AD$49,FALSE))</f>
        <v>4</v>
      </c>
      <c r="AE71" s="288">
        <f>IF($C71="","",VLOOKUP($C71,CTPit!$E$10:$BG$172,AE$49,FALSE))</f>
        <v>5</v>
      </c>
      <c r="AF71" s="289">
        <f>IF($C71="","",VLOOKUP($C71,CTPit!$E$10:$BG$172,AF$49,FALSE))</f>
        <v>5</v>
      </c>
      <c r="AG71" s="67">
        <f>IF($C71="","",VLOOKUP($C71,CTPit!$E$10:$BG$172,AG$49,FALSE))</f>
        <v>4.666666666666667</v>
      </c>
    </row>
    <row r="72" spans="1:33">
      <c r="A72">
        <v>10</v>
      </c>
      <c r="B72" s="39" t="s">
        <v>19</v>
      </c>
      <c r="C72" s="40"/>
      <c r="D72" s="40" t="str">
        <f>IF($C72="","",VLOOKUP($C72,CTPit!$E$10:$BG$214,D$4,FALSE))</f>
        <v/>
      </c>
      <c r="E72" s="40" t="str">
        <f>IF($C72="","",VLOOKUP($C72,CTPit!$E$10:$BG$214,E$4+1,FALSE))</f>
        <v/>
      </c>
      <c r="F72" s="54" t="str">
        <f t="shared" si="195"/>
        <v/>
      </c>
      <c r="G72" s="239" t="str">
        <f t="shared" si="196"/>
        <v/>
      </c>
      <c r="H72" s="240" t="str">
        <f t="shared" si="197"/>
        <v/>
      </c>
      <c r="I72" s="101" t="str">
        <f>IF($C72="","",VLOOKUP($C72,CTPit!$E$10:$BG$172,I$49,FALSE))</f>
        <v/>
      </c>
      <c r="J72" s="239" t="str">
        <f t="shared" si="198"/>
        <v/>
      </c>
      <c r="K72" s="54" t="str">
        <f>IF($C72="","",VLOOKUP($C72,CTPit!$E$10:$BG$172,K$49,FALSE))</f>
        <v/>
      </c>
      <c r="L72" s="239" t="str">
        <f>IF($C72="","",VLOOKUP($C72,CTPit!$E$10:$BG$172,L$49,FALSE))</f>
        <v/>
      </c>
      <c r="M72" s="240" t="str">
        <f>IF($C72="","",VLOOKUP($C72,CTPit!$E$10:$BG$172,M$49,FALSE))</f>
        <v/>
      </c>
      <c r="N72" s="239" t="str">
        <f>IF($C72="","",VLOOKUP($C72,CTPit!$E$10:$BG$172,N$49,FALSE))</f>
        <v/>
      </c>
      <c r="O72" s="239" t="str">
        <f>IF($C72="","",VLOOKUP($C72,CTPit!$E$10:$BG$172,O$49,FALSE))</f>
        <v/>
      </c>
      <c r="P72" s="239" t="str">
        <f>IF($C72="","",VLOOKUP($C72,CTPit!$E$10:$BG$172,P$49,FALSE))</f>
        <v/>
      </c>
      <c r="Q72" s="239" t="str">
        <f>IF($C72="","",VLOOKUP($C72,CTPit!$E$10:$BG$172,Q$49,FALSE))</f>
        <v/>
      </c>
      <c r="R72" s="239" t="str">
        <f>IF($C72="","",VLOOKUP($C72,CTPit!$E$10:$BG$172,R$49,FALSE))</f>
        <v/>
      </c>
      <c r="S72" s="239" t="str">
        <f>IF($C72="","",VLOOKUP($C72,CTPit!$E$10:$BG$172,S$49,FALSE))</f>
        <v/>
      </c>
      <c r="T72" s="239" t="str">
        <f>IF($C72="","",VLOOKUP($C72,CTPit!$E$10:$BG$172,T$49,FALSE))</f>
        <v/>
      </c>
      <c r="U72" s="239" t="str">
        <f>IF($C72="","",VLOOKUP($C72,CTPit!$E$10:$BG$172,U$49,FALSE))</f>
        <v/>
      </c>
      <c r="V72" s="239" t="str">
        <f>IF($C72="","",VLOOKUP($C72,CTPit!$E$10:$BG$172,V$49,FALSE))</f>
        <v/>
      </c>
      <c r="W72" s="239" t="str">
        <f>IF($C72="","",VLOOKUP($C72,CTPit!$E$10:$BG$172,W$49,FALSE))</f>
        <v/>
      </c>
      <c r="X72" s="239" t="str">
        <f>IF($C72="","",VLOOKUP($C72,CTPit!$E$10:$BG$172,X$49,FALSE))</f>
        <v/>
      </c>
      <c r="Y72" s="240" t="str">
        <f>IF($C72="","",VLOOKUP($C72,CTPit!$E$10:$BG$172,Y$49,FALSE))</f>
        <v/>
      </c>
      <c r="Z72" s="54" t="str">
        <f>IF($C72="","",VLOOKUP($C72,CTPit!$E$10:$BG$172,Z$49,FALSE))</f>
        <v/>
      </c>
      <c r="AA72" s="239" t="str">
        <f>IF($C72="","",VLOOKUP($C72,CTPit!$E$10:$BG$172,AA$49,FALSE))</f>
        <v/>
      </c>
      <c r="AB72" s="81" t="str">
        <f>IF($C72="","",VLOOKUP($C72,CTPit!$E$10:$BG$172,AB$49,FALSE))</f>
        <v/>
      </c>
      <c r="AC72" s="68" t="str">
        <f>IF($C72="","",VLOOKUP($C72,CTPit!$E$10:$BG$172,AC$49,FALSE))</f>
        <v/>
      </c>
      <c r="AD72" s="286" t="str">
        <f>IF($C72="","",VLOOKUP($C72,CTPit!$E$10:$BG$172,AD$49,FALSE))</f>
        <v/>
      </c>
      <c r="AE72" s="286" t="str">
        <f>IF($C72="","",VLOOKUP($C72,CTPit!$E$10:$BG$172,AE$49,FALSE))</f>
        <v/>
      </c>
      <c r="AF72" s="287" t="str">
        <f>IF($C72="","",VLOOKUP($C72,CTPit!$E$10:$BG$172,AF$49,FALSE))</f>
        <v/>
      </c>
      <c r="AG72" s="68" t="str">
        <f>IF($C72="","",VLOOKUP($C72,CTPit!$E$10:$BG$172,AG$49,FALSE))</f>
        <v/>
      </c>
    </row>
  </sheetData>
  <mergeCells count="6">
    <mergeCell ref="AH40:AT40"/>
    <mergeCell ref="AG35:AT35"/>
    <mergeCell ref="AH36:AT36"/>
    <mergeCell ref="AH37:AT37"/>
    <mergeCell ref="AH38:AT38"/>
    <mergeCell ref="AH39:AT39"/>
  </mergeCells>
  <conditionalFormatting sqref="G19">
    <cfRule type="expression" dxfId="103" priority="25">
      <formula>IF(SUM(G20:G27)&gt;1,1,0)</formula>
    </cfRule>
  </conditionalFormatting>
  <conditionalFormatting sqref="H19">
    <cfRule type="expression" dxfId="102" priority="24">
      <formula>IF(SUM(H20:H27)&gt;1,1,0)</formula>
    </cfRule>
  </conditionalFormatting>
  <conditionalFormatting sqref="F19">
    <cfRule type="expression" dxfId="101" priority="23">
      <formula>IF(SUM(F20:F27)&gt;1,1,0)</formula>
    </cfRule>
  </conditionalFormatting>
  <conditionalFormatting sqref="I5">
    <cfRule type="expression" dxfId="100" priority="22">
      <formula>-IF(SUM(I6:I17)&gt;1,1,0)</formula>
    </cfRule>
  </conditionalFormatting>
  <conditionalFormatting sqref="H5">
    <cfRule type="expression" dxfId="99" priority="21">
      <formula>-IF(SUM(H6:H17)&gt;1,1,0)</formula>
    </cfRule>
  </conditionalFormatting>
  <conditionalFormatting sqref="F29">
    <cfRule type="expression" dxfId="98" priority="20">
      <formula>IF(SUM($F$30:$F$33)&gt;1,1,0)</formula>
    </cfRule>
  </conditionalFormatting>
  <conditionalFormatting sqref="F50">
    <cfRule type="expression" dxfId="97" priority="19">
      <formula>IF(SUM($F$51:$F$56)&gt;1,1,0)</formula>
    </cfRule>
  </conditionalFormatting>
  <conditionalFormatting sqref="H50">
    <cfRule type="expression" dxfId="96" priority="18">
      <formula>IF(SUM($H$51:$H$56)&gt;3,1,0)</formula>
    </cfRule>
  </conditionalFormatting>
  <conditionalFormatting sqref="G50">
    <cfRule type="expression" dxfId="95" priority="17">
      <formula>IF(SUM($G$51:$G$56)&gt;2,1,0)</formula>
    </cfRule>
  </conditionalFormatting>
  <conditionalFormatting sqref="C30:C33 C20:C27 C6:C17">
    <cfRule type="expression" dxfId="94" priority="15">
      <formula>IF($AZ6&lt;4.5,1,0)</formula>
    </cfRule>
    <cfRule type="expression" dxfId="93" priority="16">
      <formula>IF($AZ6&gt;7,1,0)</formula>
    </cfRule>
  </conditionalFormatting>
  <conditionalFormatting sqref="C21">
    <cfRule type="expression" dxfId="92" priority="13">
      <formula>IF($AK21&lt;4.5,1,0)</formula>
    </cfRule>
    <cfRule type="expression" dxfId="91" priority="14">
      <formula>IF($AK21&gt;7,1,0)</formula>
    </cfRule>
  </conditionalFormatting>
  <conditionalFormatting sqref="F5">
    <cfRule type="expression" dxfId="90" priority="12">
      <formula>IF(SUM(F6:F17)&gt;1,1,0)</formula>
    </cfRule>
  </conditionalFormatting>
  <conditionalFormatting sqref="G5">
    <cfRule type="expression" dxfId="89" priority="11">
      <formula>IF(SUM(G6:G17)&gt;1,1,0)</formula>
    </cfRule>
  </conditionalFormatting>
  <conditionalFormatting sqref="C51:C56 C59:C60 C63:C72">
    <cfRule type="expression" dxfId="84" priority="7">
      <formula>IF($AC51&gt;$C$3,1,0)</formula>
    </cfRule>
    <cfRule type="expression" dxfId="85" priority="9">
      <formula>IF($AG51&lt;5.75,1,0)</formula>
    </cfRule>
    <cfRule type="expression" dxfId="86" priority="10">
      <formula>IF($AG51&gt;6,1,0)</formula>
    </cfRule>
    <cfRule type="expression" dxfId="83" priority="1">
      <formula>IF($AC51&lt;$D$2,1,0)</formula>
    </cfRule>
  </conditionalFormatting>
  <conditionalFormatting sqref="C6:C17 C20:C27 C30:C33">
    <cfRule type="expression" dxfId="88" priority="8">
      <formula>IF($AK6&gt;$C$2,1,0)</formula>
    </cfRule>
    <cfRule type="expression" dxfId="87" priority="4">
      <formula>IF($AK6&lt;$D$2,1,0)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published="0" codeName="Sheet11">
    <tabColor theme="9"/>
  </sheetPr>
  <dimension ref="A1:CT88"/>
  <sheetViews>
    <sheetView zoomScale="85" zoomScaleNormal="85" workbookViewId="0">
      <pane xSplit="14" ySplit="10" topLeftCell="O11" activePane="bottomRight" state="frozenSplit"/>
      <selection pane="topRight" activeCell="H1" sqref="H1"/>
      <selection pane="bottomLeft"/>
      <selection pane="bottomRight" activeCell="V11" sqref="V11"/>
    </sheetView>
  </sheetViews>
  <sheetFormatPr defaultColWidth="11.42578125" defaultRowHeight="15"/>
  <cols>
    <col min="1" max="1" width="4.85546875" bestFit="1" customWidth="1"/>
    <col min="2" max="2" width="5.28515625" bestFit="1" customWidth="1"/>
    <col min="3" max="3" width="4.85546875" bestFit="1" customWidth="1"/>
    <col min="4" max="4" width="6.5703125" bestFit="1" customWidth="1"/>
    <col min="5" max="5" width="4.7109375" bestFit="1" customWidth="1"/>
    <col min="6" max="6" width="4.5703125" bestFit="1" customWidth="1"/>
    <col min="7" max="7" width="20" bestFit="1" customWidth="1"/>
    <col min="8" max="8" width="5" bestFit="1" customWidth="1"/>
    <col min="9" max="9" width="4.85546875" bestFit="1" customWidth="1"/>
    <col min="10" max="10" width="4.5703125" bestFit="1" customWidth="1"/>
    <col min="11" max="12" width="2.140625" bestFit="1" customWidth="1"/>
    <col min="13" max="13" width="6.5703125" bestFit="1" customWidth="1"/>
    <col min="14" max="14" width="6.5703125" style="3" bestFit="1" customWidth="1"/>
    <col min="15" max="15" width="4.140625" bestFit="1" customWidth="1"/>
    <col min="16" max="16" width="4.140625" style="3" bestFit="1" customWidth="1"/>
    <col min="17" max="17" width="5.140625" bestFit="1" customWidth="1"/>
    <col min="18" max="18" width="5" bestFit="1" customWidth="1"/>
    <col min="19" max="19" width="5.7109375" bestFit="1" customWidth="1"/>
    <col min="20" max="20" width="4.28515625" bestFit="1" customWidth="1"/>
    <col min="21" max="21" width="3.7109375" style="3" bestFit="1" customWidth="1"/>
    <col min="22" max="22" width="6.7109375" bestFit="1" customWidth="1"/>
    <col min="23" max="23" width="6.5703125" bestFit="1" customWidth="1"/>
    <col min="24" max="24" width="7.28515625" bestFit="1" customWidth="1"/>
    <col min="25" max="25" width="5.85546875" bestFit="1" customWidth="1"/>
    <col min="26" max="26" width="3.85546875" style="3" bestFit="1" customWidth="1"/>
    <col min="27" max="27" width="6.85546875" bestFit="1" customWidth="1"/>
    <col min="28" max="28" width="6.7109375" bestFit="1" customWidth="1"/>
    <col min="29" max="29" width="7.5703125" bestFit="1" customWidth="1"/>
    <col min="30" max="30" width="3" bestFit="1" customWidth="1"/>
    <col min="31" max="33" width="3.140625" bestFit="1" customWidth="1"/>
    <col min="34" max="34" width="3" bestFit="1" customWidth="1"/>
    <col min="35" max="35" width="3.140625" bestFit="1" customWidth="1"/>
    <col min="36" max="36" width="3.28515625" bestFit="1" customWidth="1"/>
    <col min="37" max="37" width="3.28515625" style="3" bestFit="1" customWidth="1"/>
    <col min="38" max="38" width="4.28515625" bestFit="1" customWidth="1"/>
    <col min="39" max="39" width="4.140625" bestFit="1" customWidth="1"/>
    <col min="40" max="40" width="5.140625" style="3" bestFit="1" customWidth="1"/>
    <col min="41" max="41" width="12.5703125" bestFit="1" customWidth="1"/>
    <col min="42" max="42" width="9.42578125" style="3" bestFit="1" customWidth="1"/>
    <col min="43" max="43" width="9.28515625" bestFit="1" customWidth="1"/>
    <col min="44" max="44" width="9" style="5" bestFit="1" customWidth="1"/>
    <col min="45" max="45" width="8.85546875" bestFit="1" customWidth="1"/>
    <col min="46" max="46" width="9" bestFit="1" customWidth="1"/>
    <col min="47" max="47" width="4.7109375" bestFit="1" customWidth="1"/>
    <col min="48" max="48" width="9" bestFit="1" customWidth="1"/>
    <col min="49" max="49" width="4.140625" style="53" bestFit="1" customWidth="1"/>
    <col min="50" max="56" width="4.140625" style="5" bestFit="1" customWidth="1"/>
    <col min="57" max="57" width="4.140625" style="3" bestFit="1" customWidth="1"/>
    <col min="58" max="58" width="3.85546875" style="53" bestFit="1" customWidth="1"/>
    <col min="59" max="65" width="3.85546875" style="5" bestFit="1" customWidth="1"/>
    <col min="66" max="66" width="3.85546875" style="3" bestFit="1" customWidth="1"/>
    <col min="67" max="67" width="3.42578125" bestFit="1" customWidth="1"/>
    <col min="68" max="68" width="4.28515625" bestFit="1" customWidth="1"/>
    <col min="70" max="70" width="5" style="91" bestFit="1" customWidth="1"/>
    <col min="71" max="71" width="4.85546875" style="91" bestFit="1" customWidth="1"/>
    <col min="72" max="72" width="5.5703125" style="91" bestFit="1" customWidth="1"/>
    <col min="73" max="73" width="4.140625" style="91" bestFit="1" customWidth="1"/>
    <col min="74" max="74" width="3.7109375" style="91" bestFit="1" customWidth="1"/>
    <col min="75" max="75" width="6.5703125" style="91" bestFit="1" customWidth="1"/>
    <col min="76" max="76" width="6.42578125" style="91" bestFit="1" customWidth="1"/>
    <col min="77" max="77" width="7.140625" style="91" bestFit="1" customWidth="1"/>
    <col min="78" max="78" width="5.7109375" style="91" bestFit="1" customWidth="1"/>
    <col min="79" max="79" width="3.85546875" style="91" bestFit="1" customWidth="1"/>
    <col min="80" max="80" width="7.28515625" style="91" bestFit="1" customWidth="1"/>
    <col min="81" max="81" width="7.5703125" style="91" bestFit="1" customWidth="1"/>
    <col min="82" max="82" width="6.28515625" style="91" bestFit="1" customWidth="1"/>
    <col min="83" max="83" width="3.140625" style="91" bestFit="1" customWidth="1"/>
    <col min="84" max="86" width="3.28515625" style="91" bestFit="1" customWidth="1"/>
    <col min="87" max="89" width="3.140625" style="91" bestFit="1" customWidth="1"/>
    <col min="90" max="90" width="3.28515625" style="91" bestFit="1" customWidth="1"/>
    <col min="91" max="92" width="4.140625" style="91" bestFit="1" customWidth="1"/>
    <col min="93" max="93" width="5" style="91" bestFit="1" customWidth="1"/>
    <col min="94" max="95" width="4" style="91" bestFit="1" customWidth="1"/>
    <col min="96" max="96" width="8.42578125" style="91" bestFit="1" customWidth="1"/>
    <col min="97" max="97" width="4.42578125" style="91" bestFit="1" customWidth="1"/>
    <col min="98" max="98" width="8.42578125" style="91" bestFit="1" customWidth="1"/>
    <col min="99" max="16384" width="11.42578125" style="91"/>
  </cols>
  <sheetData>
    <row r="1" spans="1:98">
      <c r="B1" t="s">
        <v>104</v>
      </c>
      <c r="C1" t="s">
        <v>149</v>
      </c>
      <c r="E1" t="s">
        <v>222</v>
      </c>
      <c r="F1" t="s">
        <v>223</v>
      </c>
      <c r="G1" t="s">
        <v>224</v>
      </c>
    </row>
    <row r="2" spans="1:98">
      <c r="A2" t="s">
        <v>212</v>
      </c>
      <c r="B2">
        <f>COUNTIF($A$11:$A$187,"=ML")</f>
        <v>0</v>
      </c>
      <c r="C2" s="91">
        <f>VLOOKUP($A2,CTPit!$A$2:$B$8,2,FALSE)</f>
        <v>12</v>
      </c>
      <c r="D2">
        <v>25</v>
      </c>
      <c r="E2" s="98">
        <f>B2/$D2</f>
        <v>0</v>
      </c>
      <c r="F2" s="98">
        <f>C2/$D2</f>
        <v>0.48</v>
      </c>
      <c r="G2" s="107">
        <f>(B2+C2)/$D2</f>
        <v>0.48</v>
      </c>
      <c r="H2" s="107"/>
      <c r="I2" s="107"/>
    </row>
    <row r="3" spans="1:98">
      <c r="A3" t="s">
        <v>213</v>
      </c>
      <c r="B3">
        <f>COUNTIF($A$11:$A$187,"=AAA")</f>
        <v>0</v>
      </c>
      <c r="C3" s="91">
        <f>VLOOKUP($A3,CTPit!$A$2:$B$8,2,FALSE)</f>
        <v>12</v>
      </c>
      <c r="D3">
        <v>25</v>
      </c>
      <c r="E3" s="98">
        <f t="shared" ref="E3:F8" si="0">B3/$D3</f>
        <v>0</v>
      </c>
      <c r="F3" s="98">
        <f t="shared" si="0"/>
        <v>0.48</v>
      </c>
      <c r="G3" s="107">
        <f t="shared" ref="G3:G8" si="1">(B3+C3)/$D3</f>
        <v>0.48</v>
      </c>
      <c r="H3" s="107"/>
      <c r="I3" s="107"/>
    </row>
    <row r="4" spans="1:98">
      <c r="A4" t="s">
        <v>214</v>
      </c>
      <c r="B4">
        <f>COUNTIF($A$11:$A$187,"=AA")</f>
        <v>0</v>
      </c>
      <c r="C4" s="91">
        <f>VLOOKUP($A4,CTPit!$A$2:$B$8,2,FALSE)</f>
        <v>15</v>
      </c>
      <c r="D4">
        <v>25</v>
      </c>
      <c r="E4" s="98">
        <f t="shared" si="0"/>
        <v>0</v>
      </c>
      <c r="F4" s="98">
        <f t="shared" si="0"/>
        <v>0.6</v>
      </c>
      <c r="G4" s="107">
        <f t="shared" si="1"/>
        <v>0.6</v>
      </c>
      <c r="H4" s="107"/>
      <c r="I4" s="107"/>
    </row>
    <row r="5" spans="1:98">
      <c r="A5" t="s">
        <v>215</v>
      </c>
      <c r="B5">
        <f>COUNTIF($A$11:$A$187,"=A")</f>
        <v>0</v>
      </c>
      <c r="C5" s="91">
        <f>VLOOKUP($A5,CTPit!$A$2:$B$8,2,FALSE)</f>
        <v>13</v>
      </c>
      <c r="D5">
        <v>25</v>
      </c>
      <c r="E5" s="98">
        <f t="shared" si="0"/>
        <v>0</v>
      </c>
      <c r="F5" s="98">
        <f t="shared" si="0"/>
        <v>0.52</v>
      </c>
      <c r="G5" s="107">
        <f t="shared" si="1"/>
        <v>0.52</v>
      </c>
      <c r="H5" s="107"/>
      <c r="I5" s="107"/>
    </row>
    <row r="6" spans="1:98">
      <c r="A6" t="s">
        <v>333</v>
      </c>
      <c r="B6">
        <f>COUNTIF($A$11:$A$187,"=A S")</f>
        <v>0</v>
      </c>
      <c r="C6" s="91" t="e">
        <f>VLOOKUP($A6,CTPit!$A$2:$B$8,2,FALSE)</f>
        <v>#N/A</v>
      </c>
      <c r="D6">
        <v>35</v>
      </c>
      <c r="E6" s="98">
        <f t="shared" si="0"/>
        <v>0</v>
      </c>
      <c r="F6" s="98" t="e">
        <f t="shared" si="0"/>
        <v>#N/A</v>
      </c>
      <c r="G6" s="107" t="e">
        <f t="shared" si="1"/>
        <v>#N/A</v>
      </c>
      <c r="H6" s="107"/>
      <c r="I6" s="107"/>
    </row>
    <row r="7" spans="1:98">
      <c r="A7" t="s">
        <v>220</v>
      </c>
      <c r="B7">
        <f>COUNTBLANK($A$11:$A$187)-COUNTBLANK($G$11:$G$187)</f>
        <v>78</v>
      </c>
      <c r="C7" s="91">
        <f>VLOOKUP($A7,CTPit!$A$2:$B$8,2,FALSE)</f>
        <v>1</v>
      </c>
      <c r="E7" s="98"/>
      <c r="F7" s="98"/>
      <c r="G7" s="107"/>
      <c r="H7" s="107"/>
      <c r="I7" s="107"/>
    </row>
    <row r="8" spans="1:98">
      <c r="A8" t="s">
        <v>221</v>
      </c>
      <c r="B8">
        <f>SUM(B2:B7)</f>
        <v>78</v>
      </c>
      <c r="C8" t="e">
        <f>SUM(C2:C7)</f>
        <v>#N/A</v>
      </c>
      <c r="D8">
        <f>SUM(D2:D7)</f>
        <v>135</v>
      </c>
      <c r="E8" s="98">
        <f t="shared" si="0"/>
        <v>0.57777777777777772</v>
      </c>
      <c r="F8" s="98" t="e">
        <f t="shared" si="0"/>
        <v>#N/A</v>
      </c>
      <c r="G8" s="107" t="e">
        <f t="shared" si="1"/>
        <v>#N/A</v>
      </c>
      <c r="H8" s="107"/>
      <c r="I8" s="107"/>
    </row>
    <row r="9" spans="1:98">
      <c r="BR9" s="91">
        <v>11</v>
      </c>
      <c r="BS9" s="91">
        <v>12</v>
      </c>
      <c r="BT9" s="91">
        <v>13</v>
      </c>
      <c r="BU9" s="91">
        <v>14</v>
      </c>
      <c r="BV9" s="91">
        <v>15</v>
      </c>
      <c r="BW9" s="91">
        <v>16</v>
      </c>
      <c r="BX9" s="91">
        <v>17</v>
      </c>
      <c r="BY9" s="91">
        <v>18</v>
      </c>
      <c r="BZ9" s="91">
        <v>19</v>
      </c>
      <c r="CA9" s="91">
        <v>20</v>
      </c>
      <c r="CB9" s="91">
        <v>21</v>
      </c>
      <c r="CC9" s="91">
        <v>22</v>
      </c>
      <c r="CD9" s="91">
        <v>23</v>
      </c>
      <c r="CE9" s="91">
        <v>24</v>
      </c>
      <c r="CF9" s="91">
        <v>25</v>
      </c>
      <c r="CG9" s="91">
        <v>26</v>
      </c>
      <c r="CH9" s="91">
        <v>27</v>
      </c>
      <c r="CI9" s="91">
        <v>28</v>
      </c>
      <c r="CJ9" s="91">
        <v>29</v>
      </c>
      <c r="CK9" s="91">
        <v>30</v>
      </c>
      <c r="CL9" s="91">
        <v>31</v>
      </c>
      <c r="CM9" s="91">
        <v>32</v>
      </c>
      <c r="CN9" s="91">
        <v>33</v>
      </c>
      <c r="CO9" s="91">
        <v>34</v>
      </c>
    </row>
    <row r="10" spans="1:98" s="105" customFormat="1">
      <c r="A10" s="4" t="s">
        <v>211</v>
      </c>
      <c r="B10" s="4" t="s">
        <v>122</v>
      </c>
      <c r="C10" s="4" t="s">
        <v>182</v>
      </c>
      <c r="D10" s="4" t="s">
        <v>183</v>
      </c>
      <c r="E10" s="4" t="s">
        <v>117</v>
      </c>
      <c r="F10" s="4" t="s">
        <v>114</v>
      </c>
      <c r="G10" s="4" t="s">
        <v>20</v>
      </c>
      <c r="H10" s="4" t="s">
        <v>388</v>
      </c>
      <c r="I10" s="4" t="s">
        <v>324</v>
      </c>
      <c r="J10" s="4" t="s">
        <v>94</v>
      </c>
      <c r="K10" s="4" t="s">
        <v>104</v>
      </c>
      <c r="L10" s="4" t="s">
        <v>105</v>
      </c>
      <c r="M10" s="4" t="s">
        <v>21</v>
      </c>
      <c r="N10" s="2" t="s">
        <v>22</v>
      </c>
      <c r="O10" s="4" t="s">
        <v>23</v>
      </c>
      <c r="P10" s="2" t="s">
        <v>24</v>
      </c>
      <c r="Q10" s="4" t="s">
        <v>25</v>
      </c>
      <c r="R10" s="4" t="s">
        <v>26</v>
      </c>
      <c r="S10" s="4" t="s">
        <v>27</v>
      </c>
      <c r="T10" s="4" t="s">
        <v>28</v>
      </c>
      <c r="U10" s="2" t="s">
        <v>29</v>
      </c>
      <c r="V10" s="4" t="s">
        <v>30</v>
      </c>
      <c r="W10" s="4" t="s">
        <v>31</v>
      </c>
      <c r="X10" s="4" t="s">
        <v>32</v>
      </c>
      <c r="Y10" s="4" t="s">
        <v>33</v>
      </c>
      <c r="Z10" s="2" t="s">
        <v>34</v>
      </c>
      <c r="AA10" s="4" t="s">
        <v>205</v>
      </c>
      <c r="AB10" s="4" t="s">
        <v>138</v>
      </c>
      <c r="AC10" s="4" t="s">
        <v>139</v>
      </c>
      <c r="AD10" s="4" t="s">
        <v>95</v>
      </c>
      <c r="AE10" s="4" t="s">
        <v>97</v>
      </c>
      <c r="AF10" s="4" t="s">
        <v>98</v>
      </c>
      <c r="AG10" s="4" t="s">
        <v>99</v>
      </c>
      <c r="AH10" s="4" t="s">
        <v>100</v>
      </c>
      <c r="AI10" s="4" t="s">
        <v>101</v>
      </c>
      <c r="AJ10" s="4" t="s">
        <v>102</v>
      </c>
      <c r="AK10" s="2" t="s">
        <v>103</v>
      </c>
      <c r="AL10" s="4" t="s">
        <v>35</v>
      </c>
      <c r="AM10" s="4" t="s">
        <v>36</v>
      </c>
      <c r="AN10" s="2" t="s">
        <v>37</v>
      </c>
      <c r="AO10" s="4" t="s">
        <v>38</v>
      </c>
      <c r="AP10" s="2" t="s">
        <v>39</v>
      </c>
      <c r="AQ10" s="4" t="s">
        <v>119</v>
      </c>
      <c r="AR10" s="4" t="s">
        <v>90</v>
      </c>
      <c r="AS10" s="4" t="s">
        <v>120</v>
      </c>
      <c r="AT10" s="4" t="s">
        <v>91</v>
      </c>
      <c r="AU10" s="4" t="s">
        <v>89</v>
      </c>
      <c r="AV10" s="4" t="s">
        <v>92</v>
      </c>
      <c r="AW10" s="36" t="s">
        <v>164</v>
      </c>
      <c r="AX10" s="4" t="s">
        <v>165</v>
      </c>
      <c r="AY10" s="4" t="s">
        <v>166</v>
      </c>
      <c r="AZ10" s="4" t="s">
        <v>167</v>
      </c>
      <c r="BA10" s="4" t="s">
        <v>168</v>
      </c>
      <c r="BB10" s="4" t="s">
        <v>169</v>
      </c>
      <c r="BC10" s="4" t="s">
        <v>170</v>
      </c>
      <c r="BD10" s="4" t="s">
        <v>171</v>
      </c>
      <c r="BE10" s="2" t="s">
        <v>172</v>
      </c>
      <c r="BF10" s="36" t="s">
        <v>173</v>
      </c>
      <c r="BG10" s="4" t="s">
        <v>174</v>
      </c>
      <c r="BH10" s="4" t="s">
        <v>175</v>
      </c>
      <c r="BI10" s="4" t="s">
        <v>176</v>
      </c>
      <c r="BJ10" s="4" t="s">
        <v>177</v>
      </c>
      <c r="BK10" s="4" t="s">
        <v>178</v>
      </c>
      <c r="BL10" s="4" t="s">
        <v>179</v>
      </c>
      <c r="BM10" s="4" t="s">
        <v>180</v>
      </c>
      <c r="BN10" s="2" t="s">
        <v>181</v>
      </c>
      <c r="BO10" s="2" t="s">
        <v>108</v>
      </c>
      <c r="BP10" s="4" t="s">
        <v>113</v>
      </c>
      <c r="BQ10" s="4" t="s">
        <v>118</v>
      </c>
      <c r="BR10" s="105" t="str">
        <f>Q10</f>
        <v>CON</v>
      </c>
      <c r="BS10" s="105" t="str">
        <f>R10</f>
        <v>GAP</v>
      </c>
      <c r="BT10" s="105" t="str">
        <f t="shared" ref="BT10:CE10" si="2">S10</f>
        <v>POW</v>
      </c>
      <c r="BU10" s="105" t="str">
        <f t="shared" si="2"/>
        <v>EYE</v>
      </c>
      <c r="BV10" s="105" t="str">
        <f t="shared" si="2"/>
        <v>K's</v>
      </c>
      <c r="BW10" s="105" t="str">
        <f t="shared" si="2"/>
        <v>CON P</v>
      </c>
      <c r="BX10" s="105" t="str">
        <f t="shared" si="2"/>
        <v>GAP P</v>
      </c>
      <c r="BY10" s="105" t="str">
        <f t="shared" si="2"/>
        <v>POW P</v>
      </c>
      <c r="BZ10" s="105" t="str">
        <f t="shared" si="2"/>
        <v>EYE P</v>
      </c>
      <c r="CA10" s="105" t="str">
        <f t="shared" si="2"/>
        <v>K P</v>
      </c>
      <c r="CB10" s="105" t="str">
        <f t="shared" si="2"/>
        <v>IF ARM</v>
      </c>
      <c r="CC10" s="105" t="str">
        <f t="shared" si="2"/>
        <v>OF Arm</v>
      </c>
      <c r="CD10" s="105" t="str">
        <f t="shared" si="2"/>
        <v>C Arm</v>
      </c>
      <c r="CE10" s="105" t="str">
        <f t="shared" si="2"/>
        <v>C</v>
      </c>
      <c r="CF10" s="105" t="str">
        <f t="shared" ref="CF10" si="3">AE10</f>
        <v>1B</v>
      </c>
      <c r="CG10" s="105" t="str">
        <f t="shared" ref="CG10" si="4">AF10</f>
        <v>2B</v>
      </c>
      <c r="CH10" s="105" t="str">
        <f t="shared" ref="CH10" si="5">AG10</f>
        <v>3B</v>
      </c>
      <c r="CI10" s="105" t="str">
        <f t="shared" ref="CI10" si="6">AH10</f>
        <v>SS</v>
      </c>
      <c r="CJ10" s="105" t="str">
        <f t="shared" ref="CJ10" si="7">AI10</f>
        <v>LF</v>
      </c>
      <c r="CK10" s="105" t="str">
        <f t="shared" ref="CK10" si="8">AJ10</f>
        <v>CF</v>
      </c>
      <c r="CL10" s="105" t="str">
        <f t="shared" ref="CL10" si="9">AK10</f>
        <v>RF</v>
      </c>
      <c r="CM10" s="105" t="str">
        <f t="shared" ref="CM10" si="10">AL10</f>
        <v>SPE</v>
      </c>
      <c r="CN10" s="105" t="str">
        <f t="shared" ref="CN10" si="11">AM10</f>
        <v>STE</v>
      </c>
      <c r="CO10" s="105" t="str">
        <f t="shared" ref="CO10" si="12">AN10</f>
        <v>RUN</v>
      </c>
      <c r="CP10" s="105" t="s">
        <v>233</v>
      </c>
      <c r="CQ10" s="105" t="s">
        <v>234</v>
      </c>
      <c r="CR10" s="105" t="s">
        <v>113</v>
      </c>
      <c r="CS10" s="105" t="s">
        <v>235</v>
      </c>
      <c r="CT10" s="105" t="s">
        <v>221</v>
      </c>
    </row>
    <row r="11" spans="1:98">
      <c r="C11" s="106">
        <f t="shared" ref="C11:C42" si="13">IF(BH11=1,3,IF(BI11=1,4,IF(BF11=1,1,IF(BJ11=1,5,IF(BG11=1,2,IF(BK11=1,6,IF(BL11=1,7,IF(BM11=1,8,IF(BN11=1,9,"-")))))))))</f>
        <v>2</v>
      </c>
      <c r="D11" s="106">
        <f t="shared" ref="D11:D42" si="14">IF(AY11=1,3,IF(AZ11=1,4,IF(AW11=1,1,IF(BA11=1,5,IF(AX11=1,2,IF(BB11=1,6,IF(BC11=1,7,IF(BD11=1,8,IF(BE11=1,9,"-")))))))))</f>
        <v>2</v>
      </c>
      <c r="E11" s="106" t="str">
        <f t="shared" ref="E11:E42" si="15">IF(OR(O11&gt;7,AND(O11&gt;4,P11&gt;5)),"K","T")</f>
        <v>K</v>
      </c>
      <c r="F11" t="s">
        <v>95</v>
      </c>
      <c r="G11" t="s">
        <v>525</v>
      </c>
      <c r="H11" t="s">
        <v>25</v>
      </c>
      <c r="I11" t="s">
        <v>212</v>
      </c>
      <c r="J11">
        <v>26</v>
      </c>
      <c r="K11" t="s">
        <v>107</v>
      </c>
      <c r="L11" t="s">
        <v>107</v>
      </c>
      <c r="M11" t="s">
        <v>47</v>
      </c>
      <c r="N11" s="281" t="s">
        <v>42</v>
      </c>
      <c r="O11" t="s">
        <v>228</v>
      </c>
      <c r="P11" s="281" t="s">
        <v>230</v>
      </c>
      <c r="Q11">
        <v>6</v>
      </c>
      <c r="R11">
        <v>6</v>
      </c>
      <c r="S11">
        <v>6</v>
      </c>
      <c r="T11">
        <v>7</v>
      </c>
      <c r="U11" s="281">
        <v>6</v>
      </c>
      <c r="V11">
        <v>6</v>
      </c>
      <c r="W11">
        <v>6</v>
      </c>
      <c r="X11">
        <v>6</v>
      </c>
      <c r="Y11">
        <v>7</v>
      </c>
      <c r="Z11" s="281">
        <v>6</v>
      </c>
      <c r="AA11">
        <v>4</v>
      </c>
      <c r="AB11">
        <v>5</v>
      </c>
      <c r="AC11">
        <v>7</v>
      </c>
      <c r="AD11">
        <v>8</v>
      </c>
      <c r="AE11" t="s">
        <v>41</v>
      </c>
      <c r="AF11" t="s">
        <v>41</v>
      </c>
      <c r="AG11" t="s">
        <v>41</v>
      </c>
      <c r="AH11" t="s">
        <v>41</v>
      </c>
      <c r="AI11">
        <v>1</v>
      </c>
      <c r="AJ11" t="s">
        <v>41</v>
      </c>
      <c r="AK11" s="281" t="s">
        <v>41</v>
      </c>
      <c r="AL11">
        <v>1</v>
      </c>
      <c r="AM11">
        <v>1</v>
      </c>
      <c r="AN11" s="281">
        <v>2</v>
      </c>
      <c r="AO11" t="s">
        <v>41</v>
      </c>
      <c r="AP11" s="281">
        <v>0</v>
      </c>
      <c r="AQ11" s="6">
        <f t="shared" ref="AQ11:AQ42" si="16">AVERAGE(Q11,S11,T11)+IF(OR(Q11&gt;7,AND(Q11&gt;5,T11&gt;5)),0.5,0)+IF(S11&gt;7,0.25,0)+IF(Q11&lt;6,-0.5*(6-Q11),0)</f>
        <v>6.833333333333333</v>
      </c>
      <c r="AR11" s="9" t="str">
        <f t="shared" ref="AR11:AR42" si="17">IF(AQ11&gt;9,"SuperStar",IF(AQ11&gt;8,"Star",IF(AQ11&gt;6.5,"GoodReg",IF(AQ11&gt;5,"Reg",IF(AQ11&gt;4,"Bench","Minors")))))</f>
        <v>GoodReg</v>
      </c>
      <c r="AS11" s="6">
        <f t="shared" ref="AS11:AS42" si="18">AVERAGE(V11,X11,Y11)+IF(OR(V11&gt;7,AND(V11&gt;5,Y11&gt;5)),0.5,0)+IF(X11&gt;7,0.25,0)+IF(V11&lt;6,-0.5*(6-V11),0)</f>
        <v>6.833333333333333</v>
      </c>
      <c r="AT11" s="6" t="str">
        <f t="shared" ref="AT11:AT42" si="19">IF(AS11&gt;9,"SuperStar",IF(AS11&gt;8,"Star",IF(AS11&gt;6.5,"GoodReg",IF(AS11&gt;5,"Reg",IF(AS11&gt;4,"Bench","Minors")))))</f>
        <v>GoodReg</v>
      </c>
      <c r="AU11" s="9">
        <f t="shared" ref="AU11:AU42" si="20">MIN(AQ11+(MAX(0,25-J11))^1.5,AS11)</f>
        <v>6.833333333333333</v>
      </c>
      <c r="AV11" s="9" t="str">
        <f t="shared" ref="AV11:AV42" si="21">IF(AU11&gt;9,"SuperStar",IF(AU11&gt;8,"Star",IF(AU11&gt;6.5,"GoodReg",IF(AU11&gt;5,"Reg",IF(AU11&gt;4,"Bench","Minors")))))</f>
        <v>GoodReg</v>
      </c>
      <c r="AW11" s="53">
        <f t="shared" ref="AW11:AW42" si="22">IF(AND(OR(Q11+T11&gt;12,AND(Q11&gt;6,T11&gt;6)),AL11&gt;6,OR(AM11&gt;=AL11,AM11&gt;6)),1,0)</f>
        <v>0</v>
      </c>
      <c r="AX11" s="280">
        <f t="shared" ref="AX11:AX42" si="23">IF(OR(AND(Q11&gt;6,U11&gt;6),Q11+T11&gt;12),1,0)</f>
        <v>1</v>
      </c>
      <c r="AY11" s="280">
        <f t="shared" ref="AY11:AY42" si="24">IF(AND(Q11&gt;6,S11&gt;6,T11&gt;6),1,0)</f>
        <v>0</v>
      </c>
      <c r="AZ11" s="280">
        <f t="shared" ref="AZ11:AZ42" si="25">IF(AND(S11&gt;7,OR(Q11&gt;6,T11&gt;6)),1,0)</f>
        <v>0</v>
      </c>
      <c r="BA11" s="280">
        <f t="shared" ref="BA11:BA42" si="26">IF(AND(S11&gt;6,OR(Q11&gt;6,T11&gt;6)),1,0)</f>
        <v>0</v>
      </c>
      <c r="BB11" s="280">
        <f t="shared" ref="BB11:BB42" si="27">IF(AND(OR(Q11&gt;6,S11&gt;6),OR(Q11&gt;6,T11&gt;6)),1,0)</f>
        <v>0</v>
      </c>
      <c r="BC11" s="280">
        <f t="shared" ref="BC11:BC42" si="28">IF(AND(Q11&gt;4,OR(Q11&gt;6,S11&gt;6,T11&gt;6)),1,0)</f>
        <v>1</v>
      </c>
      <c r="BD11" s="280">
        <f t="shared" ref="BD11:BD42" si="29">IF(AND(Q11&gt;4,OR(Q11&gt;6,R11&gt;6,S11&gt;6,T11&gt;6)),1,0)</f>
        <v>1</v>
      </c>
      <c r="BE11" s="281">
        <f t="shared" ref="BE11:BE42" si="30">IF(AND(Q11&gt;4,MAX(Q11:U11)&gt;6),1,0)</f>
        <v>1</v>
      </c>
      <c r="BF11" s="53">
        <f t="shared" ref="BF11:BF42" si="31">IF(AND(OR(V11+Y11&gt;12,AND(V11&gt;6,Y11&gt;6)),AL11&gt;6,OR(AM11&gt;=AL11,AM11&gt;6)),1,0)</f>
        <v>0</v>
      </c>
      <c r="BG11" s="280">
        <f t="shared" ref="BG11:BG42" si="32">IF(OR(AND(V11&gt;6,Z11&gt;6),V11+Y11&gt;12),1,0)</f>
        <v>1</v>
      </c>
      <c r="BH11" s="280">
        <f t="shared" ref="BH11:BH42" si="33">IF(AND(V11&gt;6,X11&gt;6,Y11&gt;6),1,0)</f>
        <v>0</v>
      </c>
      <c r="BI11" s="280">
        <f t="shared" ref="BI11:BI42" si="34">IF(AND(X11&gt;7,OR(V11&gt;6,Y11&gt;6)),1,0)</f>
        <v>0</v>
      </c>
      <c r="BJ11" s="280">
        <f t="shared" ref="BJ11:BJ42" si="35">IF(AND(X11&gt;6,OR(V11&gt;6,Y11&gt;6)),1,0)</f>
        <v>0</v>
      </c>
      <c r="BK11" s="280">
        <f t="shared" ref="BK11:BK42" si="36">IF(AND(OR(V11&gt;6,X11&gt;6),OR(V11&gt;6,Y11&gt;6)),1,0)</f>
        <v>0</v>
      </c>
      <c r="BL11" s="280">
        <f t="shared" ref="BL11:BL42" si="37">IF(AND(V11&gt;4,OR(V11&gt;6,X11&gt;6,Y11&gt;6)),1,0)</f>
        <v>1</v>
      </c>
      <c r="BM11" s="280">
        <f t="shared" ref="BM11:BM42" si="38">IF(AND(V11&gt;4,OR(V11&gt;6,W11&gt;6,X11&gt;6,Y11&gt;6)),1,0)</f>
        <v>1</v>
      </c>
      <c r="BN11" s="281">
        <f t="shared" ref="BN11:BN42" si="39">IF(AND(V11&gt;4,MAX(V11:Z11)&gt;6),1,0)</f>
        <v>1</v>
      </c>
      <c r="BO11" s="281">
        <f t="shared" ref="BO11:BO42" si="40">IF(AVERAGE(AL11:AM11)&gt;9,1,0)+IF(AVERAGE(AL11:AM11)&gt;7,1,0)+IF(AL11&gt;7,1,0)+IF(AM11&gt;7,1,0)+IF(AN11&gt;8,1,0)+IF(AN11&gt;6,1,0)</f>
        <v>0</v>
      </c>
      <c r="BP11" s="7">
        <f t="shared" ref="BP11:BP42" si="41">IF(OR(MAX(AD11,AE11,AI11,AK11)&gt;6,MAX(AF11,AG11,AH11,AJ11)&gt;7),2,IF(MAX(AD11:AK11)&gt;4,1,0))</f>
        <v>2</v>
      </c>
      <c r="BQ11" t="str">
        <f t="shared" ref="BQ11:BQ42" si="42">IF(AP11=1,"Yes","")</f>
        <v/>
      </c>
      <c r="BR11" s="91">
        <f>IF(Q11="-","-",VLOOKUP($G11,CTBat!$G$10:$AN$89,BR$9,FALSE)-Q11)</f>
        <v>0</v>
      </c>
      <c r="BS11" s="91">
        <f>IF(R11="-","-",VLOOKUP($G11,CTBat!$G$10:$AN$89,BS$9,FALSE)-R11)</f>
        <v>0</v>
      </c>
      <c r="BT11" s="91">
        <f>IF(S11="-","-",VLOOKUP($G11,CTBat!$G$10:$AN$89,BT$9,FALSE)-S11)</f>
        <v>0</v>
      </c>
      <c r="BU11" s="91">
        <f>IF(T11="-","-",VLOOKUP($G11,CTBat!$G$10:$AN$89,BU$9,FALSE)-T11)</f>
        <v>0</v>
      </c>
      <c r="BV11" s="91">
        <f>IF(U11="-","-",VLOOKUP($G11,CTBat!$G$10:$AN$89,BV$9,FALSE)-U11)</f>
        <v>0</v>
      </c>
      <c r="BW11" s="91">
        <f>IF(V11="-","-",VLOOKUP($G11,CTBat!$G$10:$AN$89,BW$9,FALSE)-V11)</f>
        <v>0</v>
      </c>
      <c r="BX11" s="91">
        <f>IF(W11="-","-",VLOOKUP($G11,CTBat!$G$10:$AN$89,BX$9,FALSE)-W11)</f>
        <v>0</v>
      </c>
      <c r="BY11" s="91">
        <f>IF(X11="-","-",VLOOKUP($G11,CTBat!$G$10:$AN$89,BY$9,FALSE)-X11)</f>
        <v>0</v>
      </c>
      <c r="BZ11" s="91">
        <f>IF(Y11="-","-",VLOOKUP($G11,CTBat!$G$10:$AN$89,BZ$9,FALSE)-Y11)</f>
        <v>0</v>
      </c>
      <c r="CA11" s="91">
        <f>IF(Z11="-","-",VLOOKUP($G11,CTBat!$G$10:$AN$89,CA$9,FALSE)-Z11)</f>
        <v>0</v>
      </c>
      <c r="CB11" s="91">
        <f>IF(AA11="-","-",VLOOKUP($G11,CTBat!$G$10:$AN$89,CB$9,FALSE)-AA11)</f>
        <v>0</v>
      </c>
      <c r="CC11" s="91">
        <f>IF(AB11="-","-",VLOOKUP($G11,CTBat!$G$10:$AN$89,CC$9,FALSE)-AB11)</f>
        <v>0</v>
      </c>
      <c r="CD11" s="91">
        <f>IF(AC11="-","-",VLOOKUP($G11,CTBat!$G$10:$AN$89,CD$9,FALSE)-AC11)</f>
        <v>0</v>
      </c>
      <c r="CE11" s="91">
        <f>IF(AD11="-","-",VLOOKUP($G11,CTBat!$G$10:$AN$89,CE$9,FALSE)-AD11)</f>
        <v>0</v>
      </c>
      <c r="CF11" s="91" t="str">
        <f>IF(AE11="-","-",VLOOKUP($G11,CTBat!$G$10:$AN$89,CF$9,FALSE)-AE11)</f>
        <v>-</v>
      </c>
      <c r="CG11" s="91" t="str">
        <f>IF(AF11="-","-",VLOOKUP($G11,CTBat!$G$10:$AN$89,CG$9,FALSE)-AF11)</f>
        <v>-</v>
      </c>
      <c r="CH11" s="91" t="str">
        <f>IF(AG11="-","-",VLOOKUP($G11,CTBat!$G$10:$AN$89,CH$9,FALSE)-AG11)</f>
        <v>-</v>
      </c>
      <c r="CI11" s="91" t="str">
        <f>IF(AH11="-","-",VLOOKUP($G11,CTBat!$G$10:$AN$89,CI$9,FALSE)-AH11)</f>
        <v>-</v>
      </c>
      <c r="CJ11" s="91" t="e">
        <f>IF(AI11="-","-",VLOOKUP($G11,CTBat!$G$10:$AN$89,CJ$9,FALSE)-AI11)</f>
        <v>#VALUE!</v>
      </c>
      <c r="CK11" s="91" t="str">
        <f>IF(AJ11="-","-",VLOOKUP($G11,CTBat!$G$10:$AN$89,CK$9,FALSE)-AJ11)</f>
        <v>-</v>
      </c>
      <c r="CL11" s="91" t="str">
        <f>IF(AK11="-","-",VLOOKUP($G11,CTBat!$G$10:$AN$89,CL$9,FALSE)-AK11)</f>
        <v>-</v>
      </c>
      <c r="CM11" s="91">
        <f>IF(AL11="-","-",VLOOKUP($G11,CTBat!$G$10:$AN$89,CM$9,FALSE)-AL11)</f>
        <v>0</v>
      </c>
      <c r="CN11" s="91">
        <f>IF(AM11="-","-",VLOOKUP($G11,CTBat!$G$10:$AN$89,CN$9,FALSE)-AM11)</f>
        <v>0</v>
      </c>
      <c r="CO11" s="91">
        <f>IF(AN11="-","-",VLOOKUP($G11,CTBat!$G$10:$AN$89,CO$9,FALSE)-AN11)</f>
        <v>0</v>
      </c>
      <c r="CP11" s="91">
        <f t="shared" ref="CP11:CP42" si="43">SUM(BR11:BV11)</f>
        <v>0</v>
      </c>
      <c r="CQ11" s="91">
        <f t="shared" ref="CQ11:CQ42" si="44">SUM(BW11:CA11)</f>
        <v>0</v>
      </c>
      <c r="CR11" s="91" t="e">
        <f t="shared" ref="CR11:CR42" si="45">SUM(CB11:CL11)</f>
        <v>#VALUE!</v>
      </c>
      <c r="CS11" s="91">
        <f t="shared" ref="CS11:CS42" si="46">SUM(CM11:CO11)</f>
        <v>0</v>
      </c>
      <c r="CT11" s="91" t="e">
        <f t="shared" ref="CT11:CT42" si="47">SUM(CP11:CS11)</f>
        <v>#VALUE!</v>
      </c>
    </row>
    <row r="12" spans="1:98">
      <c r="C12" t="str">
        <f t="shared" si="13"/>
        <v>-</v>
      </c>
      <c r="D12" t="str">
        <f t="shared" si="14"/>
        <v>-</v>
      </c>
      <c r="E12" t="str">
        <f t="shared" si="15"/>
        <v>K</v>
      </c>
      <c r="F12" t="s">
        <v>99</v>
      </c>
      <c r="G12" t="s">
        <v>56</v>
      </c>
      <c r="H12" t="s">
        <v>384</v>
      </c>
      <c r="I12" t="s">
        <v>213</v>
      </c>
      <c r="J12">
        <v>27</v>
      </c>
      <c r="K12" t="s">
        <v>107</v>
      </c>
      <c r="L12" t="s">
        <v>107</v>
      </c>
      <c r="M12" t="s">
        <v>47</v>
      </c>
      <c r="N12" s="3" t="s">
        <v>47</v>
      </c>
      <c r="O12" t="s">
        <v>229</v>
      </c>
      <c r="P12" s="3" t="s">
        <v>230</v>
      </c>
      <c r="Q12">
        <v>4</v>
      </c>
      <c r="R12">
        <v>4</v>
      </c>
      <c r="S12">
        <v>7</v>
      </c>
      <c r="T12">
        <v>6</v>
      </c>
      <c r="U12" s="3">
        <v>4</v>
      </c>
      <c r="V12">
        <v>4</v>
      </c>
      <c r="W12">
        <v>4</v>
      </c>
      <c r="X12">
        <v>7</v>
      </c>
      <c r="Y12">
        <v>6</v>
      </c>
      <c r="Z12" s="3">
        <v>4</v>
      </c>
      <c r="AA12">
        <v>8</v>
      </c>
      <c r="AB12">
        <v>3</v>
      </c>
      <c r="AC12">
        <v>1</v>
      </c>
      <c r="AD12" t="s">
        <v>41</v>
      </c>
      <c r="AE12">
        <v>5</v>
      </c>
      <c r="AF12">
        <v>1</v>
      </c>
      <c r="AG12">
        <v>6</v>
      </c>
      <c r="AH12">
        <v>1</v>
      </c>
      <c r="AI12" t="s">
        <v>41</v>
      </c>
      <c r="AJ12" t="s">
        <v>41</v>
      </c>
      <c r="AK12" s="3" t="s">
        <v>41</v>
      </c>
      <c r="AL12">
        <v>5</v>
      </c>
      <c r="AM12">
        <v>6</v>
      </c>
      <c r="AN12" s="3">
        <v>5</v>
      </c>
      <c r="AO12" s="85" t="s">
        <v>41</v>
      </c>
      <c r="AP12" s="3">
        <v>0</v>
      </c>
      <c r="AQ12" s="6">
        <f t="shared" si="16"/>
        <v>4.666666666666667</v>
      </c>
      <c r="AR12" s="9" t="str">
        <f t="shared" si="17"/>
        <v>Bench</v>
      </c>
      <c r="AS12" s="6">
        <f t="shared" si="18"/>
        <v>4.666666666666667</v>
      </c>
      <c r="AT12" s="6" t="str">
        <f t="shared" si="19"/>
        <v>Bench</v>
      </c>
      <c r="AU12" s="9">
        <f t="shared" si="20"/>
        <v>4.666666666666667</v>
      </c>
      <c r="AV12" s="9" t="str">
        <f t="shared" si="21"/>
        <v>Bench</v>
      </c>
      <c r="AW12" s="53">
        <f t="shared" si="22"/>
        <v>0</v>
      </c>
      <c r="AX12" s="5">
        <f t="shared" si="23"/>
        <v>0</v>
      </c>
      <c r="AY12" s="5">
        <f t="shared" si="24"/>
        <v>0</v>
      </c>
      <c r="AZ12" s="5">
        <f t="shared" si="25"/>
        <v>0</v>
      </c>
      <c r="BA12" s="5">
        <f t="shared" si="26"/>
        <v>0</v>
      </c>
      <c r="BB12" s="5">
        <f t="shared" si="27"/>
        <v>0</v>
      </c>
      <c r="BC12" s="5">
        <f t="shared" si="28"/>
        <v>0</v>
      </c>
      <c r="BD12" s="5">
        <f t="shared" si="29"/>
        <v>0</v>
      </c>
      <c r="BE12" s="3">
        <f t="shared" si="30"/>
        <v>0</v>
      </c>
      <c r="BF12" s="53">
        <f t="shared" si="31"/>
        <v>0</v>
      </c>
      <c r="BG12" s="5">
        <f t="shared" si="32"/>
        <v>0</v>
      </c>
      <c r="BH12" s="5">
        <f t="shared" si="33"/>
        <v>0</v>
      </c>
      <c r="BI12" s="5">
        <f t="shared" si="34"/>
        <v>0</v>
      </c>
      <c r="BJ12" s="5">
        <f t="shared" si="35"/>
        <v>0</v>
      </c>
      <c r="BK12" s="5">
        <f t="shared" si="36"/>
        <v>0</v>
      </c>
      <c r="BL12" s="5">
        <f t="shared" si="37"/>
        <v>0</v>
      </c>
      <c r="BM12" s="5">
        <f t="shared" si="38"/>
        <v>0</v>
      </c>
      <c r="BN12" s="3">
        <f t="shared" si="39"/>
        <v>0</v>
      </c>
      <c r="BO12" s="3">
        <f t="shared" si="40"/>
        <v>0</v>
      </c>
      <c r="BP12" s="7">
        <f t="shared" si="41"/>
        <v>1</v>
      </c>
      <c r="BQ12" t="str">
        <f t="shared" si="42"/>
        <v/>
      </c>
      <c r="BR12" s="91" t="e">
        <f>IF(Q12="-","-",VLOOKUP($G12,CTBat!$G$10:$AN$89,BR$9,FALSE)-Q12)</f>
        <v>#N/A</v>
      </c>
      <c r="BS12" s="91" t="e">
        <f>IF(R12="-","-",VLOOKUP($G12,CTBat!$G$10:$AN$89,BS$9,FALSE)-R12)</f>
        <v>#N/A</v>
      </c>
      <c r="BT12" s="91" t="e">
        <f>IF(S12="-","-",VLOOKUP($G12,CTBat!$G$10:$AN$89,BT$9,FALSE)-S12)</f>
        <v>#N/A</v>
      </c>
      <c r="BU12" s="91" t="e">
        <f>IF(T12="-","-",VLOOKUP($G12,CTBat!$G$10:$AN$89,BU$9,FALSE)-T12)</f>
        <v>#N/A</v>
      </c>
      <c r="BV12" s="91" t="e">
        <f>IF(U12="-","-",VLOOKUP($G12,CTBat!$G$10:$AN$89,BV$9,FALSE)-U12)</f>
        <v>#N/A</v>
      </c>
      <c r="BW12" s="91" t="e">
        <f>IF(V12="-","-",VLOOKUP($G12,CTBat!$G$10:$AN$89,BW$9,FALSE)-V12)</f>
        <v>#N/A</v>
      </c>
      <c r="BX12" s="91" t="e">
        <f>IF(W12="-","-",VLOOKUP($G12,CTBat!$G$10:$AN$89,BX$9,FALSE)-W12)</f>
        <v>#N/A</v>
      </c>
      <c r="BY12" s="91" t="e">
        <f>IF(X12="-","-",VLOOKUP($G12,CTBat!$G$10:$AN$89,BY$9,FALSE)-X12)</f>
        <v>#N/A</v>
      </c>
      <c r="BZ12" s="91" t="e">
        <f>IF(Y12="-","-",VLOOKUP($G12,CTBat!$G$10:$AN$89,BZ$9,FALSE)-Y12)</f>
        <v>#N/A</v>
      </c>
      <c r="CA12" s="91" t="e">
        <f>IF(Z12="-","-",VLOOKUP($G12,CTBat!$G$10:$AN$89,CA$9,FALSE)-Z12)</f>
        <v>#N/A</v>
      </c>
      <c r="CB12" s="91" t="e">
        <f>IF(AA12="-","-",VLOOKUP($G12,CTBat!$G$10:$AN$89,CB$9,FALSE)-AA12)</f>
        <v>#N/A</v>
      </c>
      <c r="CC12" s="91" t="e">
        <f>IF(AB12="-","-",VLOOKUP($G12,CTBat!$G$10:$AN$89,CC$9,FALSE)-AB12)</f>
        <v>#N/A</v>
      </c>
      <c r="CD12" s="91" t="e">
        <f>IF(AC12="-","-",VLOOKUP($G12,CTBat!$G$10:$AN$89,CD$9,FALSE)-AC12)</f>
        <v>#N/A</v>
      </c>
      <c r="CE12" s="91" t="str">
        <f>IF(AD12="-","-",VLOOKUP($G12,CTBat!$G$10:$AN$89,CE$9,FALSE)-AD12)</f>
        <v>-</v>
      </c>
      <c r="CF12" s="91" t="e">
        <f>IF(AE12="-","-",VLOOKUP($G12,CTBat!$G$10:$AN$89,CF$9,FALSE)-AE12)</f>
        <v>#N/A</v>
      </c>
      <c r="CG12" s="91" t="e">
        <f>IF(AF12="-","-",VLOOKUP($G12,CTBat!$G$10:$AN$89,CG$9,FALSE)-AF12)</f>
        <v>#N/A</v>
      </c>
      <c r="CH12" s="91" t="e">
        <f>IF(AG12="-","-",VLOOKUP($G12,CTBat!$G$10:$AN$89,CH$9,FALSE)-AG12)</f>
        <v>#N/A</v>
      </c>
      <c r="CI12" s="91" t="e">
        <f>IF(AH12="-","-",VLOOKUP($G12,CTBat!$G$10:$AN$89,CI$9,FALSE)-AH12)</f>
        <v>#N/A</v>
      </c>
      <c r="CJ12" s="91" t="str">
        <f>IF(AI12="-","-",VLOOKUP($G12,CTBat!$G$10:$AN$89,CJ$9,FALSE)-AI12)</f>
        <v>-</v>
      </c>
      <c r="CK12" s="91" t="str">
        <f>IF(AJ12="-","-",VLOOKUP($G12,CTBat!$G$10:$AN$89,CK$9,FALSE)-AJ12)</f>
        <v>-</v>
      </c>
      <c r="CL12" s="91" t="str">
        <f>IF(AK12="-","-",VLOOKUP($G12,CTBat!$G$10:$AN$89,CL$9,FALSE)-AK12)</f>
        <v>-</v>
      </c>
      <c r="CM12" s="91" t="e">
        <f>IF(AL12="-","-",VLOOKUP($G12,CTBat!$G$10:$AN$89,CM$9,FALSE)-AL12)</f>
        <v>#N/A</v>
      </c>
      <c r="CN12" s="91" t="e">
        <f>IF(AM12="-","-",VLOOKUP($G12,CTBat!$G$10:$AN$89,CN$9,FALSE)-AM12)</f>
        <v>#N/A</v>
      </c>
      <c r="CO12" s="91" t="e">
        <f>IF(AN12="-","-",VLOOKUP($G12,CTBat!$G$10:$AN$89,CO$9,FALSE)-AN12)</f>
        <v>#N/A</v>
      </c>
      <c r="CP12" s="91" t="e">
        <f t="shared" si="43"/>
        <v>#N/A</v>
      </c>
      <c r="CQ12" s="91" t="e">
        <f t="shared" si="44"/>
        <v>#N/A</v>
      </c>
      <c r="CR12" s="91" t="e">
        <f t="shared" si="45"/>
        <v>#N/A</v>
      </c>
      <c r="CS12" s="91" t="e">
        <f t="shared" si="46"/>
        <v>#N/A</v>
      </c>
      <c r="CT12" s="91" t="e">
        <f t="shared" si="47"/>
        <v>#N/A</v>
      </c>
    </row>
    <row r="13" spans="1:98">
      <c r="C13" t="str">
        <f t="shared" si="13"/>
        <v>-</v>
      </c>
      <c r="D13" t="str">
        <f t="shared" si="14"/>
        <v>-</v>
      </c>
      <c r="E13" t="str">
        <f t="shared" si="15"/>
        <v>K</v>
      </c>
      <c r="F13" t="s">
        <v>95</v>
      </c>
      <c r="G13" t="s">
        <v>397</v>
      </c>
      <c r="H13" t="s">
        <v>386</v>
      </c>
      <c r="I13" t="s">
        <v>215</v>
      </c>
      <c r="J13">
        <v>22</v>
      </c>
      <c r="K13" t="s">
        <v>107</v>
      </c>
      <c r="L13" t="s">
        <v>107</v>
      </c>
      <c r="M13" t="s">
        <v>47</v>
      </c>
      <c r="N13" s="3" t="s">
        <v>47</v>
      </c>
      <c r="O13" t="s">
        <v>229</v>
      </c>
      <c r="P13" s="3" t="s">
        <v>228</v>
      </c>
      <c r="Q13">
        <v>5</v>
      </c>
      <c r="R13">
        <v>5</v>
      </c>
      <c r="S13">
        <v>1</v>
      </c>
      <c r="T13">
        <v>4</v>
      </c>
      <c r="U13" s="3">
        <v>5</v>
      </c>
      <c r="V13">
        <v>5</v>
      </c>
      <c r="W13">
        <v>5</v>
      </c>
      <c r="X13">
        <v>1</v>
      </c>
      <c r="Y13">
        <v>5</v>
      </c>
      <c r="Z13" s="3">
        <v>5</v>
      </c>
      <c r="AA13">
        <v>1</v>
      </c>
      <c r="AB13">
        <v>1</v>
      </c>
      <c r="AC13">
        <v>9</v>
      </c>
      <c r="AD13">
        <v>6</v>
      </c>
      <c r="AE13" t="s">
        <v>41</v>
      </c>
      <c r="AF13" t="s">
        <v>41</v>
      </c>
      <c r="AG13" t="s">
        <v>41</v>
      </c>
      <c r="AH13" t="s">
        <v>41</v>
      </c>
      <c r="AI13" t="s">
        <v>41</v>
      </c>
      <c r="AJ13" t="s">
        <v>41</v>
      </c>
      <c r="AK13" s="3" t="s">
        <v>41</v>
      </c>
      <c r="AL13">
        <v>2</v>
      </c>
      <c r="AM13">
        <v>2</v>
      </c>
      <c r="AN13" s="3">
        <v>2</v>
      </c>
      <c r="AO13" s="85" t="s">
        <v>41</v>
      </c>
      <c r="AP13" s="3">
        <v>0</v>
      </c>
      <c r="AQ13" s="6">
        <f t="shared" si="16"/>
        <v>2.8333333333333335</v>
      </c>
      <c r="AR13" s="9" t="str">
        <f t="shared" si="17"/>
        <v>Minors</v>
      </c>
      <c r="AS13" s="6">
        <f t="shared" si="18"/>
        <v>3.1666666666666665</v>
      </c>
      <c r="AT13" s="6" t="str">
        <f t="shared" si="19"/>
        <v>Minors</v>
      </c>
      <c r="AU13" s="9">
        <f t="shared" si="20"/>
        <v>3.1666666666666665</v>
      </c>
      <c r="AV13" s="9" t="str">
        <f t="shared" si="21"/>
        <v>Minors</v>
      </c>
      <c r="AW13" s="53">
        <f t="shared" si="22"/>
        <v>0</v>
      </c>
      <c r="AX13" s="5">
        <f t="shared" si="23"/>
        <v>0</v>
      </c>
      <c r="AY13" s="5">
        <f t="shared" si="24"/>
        <v>0</v>
      </c>
      <c r="AZ13" s="5">
        <f t="shared" si="25"/>
        <v>0</v>
      </c>
      <c r="BA13" s="5">
        <f t="shared" si="26"/>
        <v>0</v>
      </c>
      <c r="BB13" s="5">
        <f t="shared" si="27"/>
        <v>0</v>
      </c>
      <c r="BC13" s="5">
        <f t="shared" si="28"/>
        <v>0</v>
      </c>
      <c r="BD13" s="5">
        <f t="shared" si="29"/>
        <v>0</v>
      </c>
      <c r="BE13" s="3">
        <f t="shared" si="30"/>
        <v>0</v>
      </c>
      <c r="BF13" s="53">
        <f t="shared" si="31"/>
        <v>0</v>
      </c>
      <c r="BG13" s="5">
        <f t="shared" si="32"/>
        <v>0</v>
      </c>
      <c r="BH13" s="5">
        <f t="shared" si="33"/>
        <v>0</v>
      </c>
      <c r="BI13" s="5">
        <f t="shared" si="34"/>
        <v>0</v>
      </c>
      <c r="BJ13" s="5">
        <f t="shared" si="35"/>
        <v>0</v>
      </c>
      <c r="BK13" s="5">
        <f t="shared" si="36"/>
        <v>0</v>
      </c>
      <c r="BL13" s="5">
        <f t="shared" si="37"/>
        <v>0</v>
      </c>
      <c r="BM13" s="5">
        <f t="shared" si="38"/>
        <v>0</v>
      </c>
      <c r="BN13" s="3">
        <f t="shared" si="39"/>
        <v>0</v>
      </c>
      <c r="BO13" s="3">
        <f t="shared" si="40"/>
        <v>0</v>
      </c>
      <c r="BP13" s="7">
        <f t="shared" si="41"/>
        <v>1</v>
      </c>
      <c r="BQ13" t="str">
        <f t="shared" si="42"/>
        <v/>
      </c>
      <c r="BR13" s="91" t="e">
        <f>IF(Q13="-","-",VLOOKUP($G13,CTBat!$G$10:$AN$89,BR$9,FALSE)-Q13)</f>
        <v>#N/A</v>
      </c>
      <c r="BS13" s="91" t="e">
        <f>IF(R13="-","-",VLOOKUP($G13,CTBat!$G$10:$AN$89,BS$9,FALSE)-R13)</f>
        <v>#N/A</v>
      </c>
      <c r="BT13" s="91" t="e">
        <f>IF(S13="-","-",VLOOKUP($G13,CTBat!$G$10:$AN$89,BT$9,FALSE)-S13)</f>
        <v>#N/A</v>
      </c>
      <c r="BU13" s="91" t="e">
        <f>IF(T13="-","-",VLOOKUP($G13,CTBat!$G$10:$AN$89,BU$9,FALSE)-T13)</f>
        <v>#N/A</v>
      </c>
      <c r="BV13" s="91" t="e">
        <f>IF(U13="-","-",VLOOKUP($G13,CTBat!$G$10:$AN$89,BV$9,FALSE)-U13)</f>
        <v>#N/A</v>
      </c>
      <c r="BW13" s="91" t="e">
        <f>IF(V13="-","-",VLOOKUP($G13,CTBat!$G$10:$AN$89,BW$9,FALSE)-V13)</f>
        <v>#N/A</v>
      </c>
      <c r="BX13" s="91" t="e">
        <f>IF(W13="-","-",VLOOKUP($G13,CTBat!$G$10:$AN$89,BX$9,FALSE)-W13)</f>
        <v>#N/A</v>
      </c>
      <c r="BY13" s="91" t="e">
        <f>IF(X13="-","-",VLOOKUP($G13,CTBat!$G$10:$AN$89,BY$9,FALSE)-X13)</f>
        <v>#N/A</v>
      </c>
      <c r="BZ13" s="91" t="e">
        <f>IF(Y13="-","-",VLOOKUP($G13,CTBat!$G$10:$AN$89,BZ$9,FALSE)-Y13)</f>
        <v>#N/A</v>
      </c>
      <c r="CA13" s="91" t="e">
        <f>IF(Z13="-","-",VLOOKUP($G13,CTBat!$G$10:$AN$89,CA$9,FALSE)-Z13)</f>
        <v>#N/A</v>
      </c>
      <c r="CB13" s="91" t="e">
        <f>IF(AA13="-","-",VLOOKUP($G13,CTBat!$G$10:$AN$89,CB$9,FALSE)-AA13)</f>
        <v>#N/A</v>
      </c>
      <c r="CC13" s="91" t="e">
        <f>IF(AB13="-","-",VLOOKUP($G13,CTBat!$G$10:$AN$89,CC$9,FALSE)-AB13)</f>
        <v>#N/A</v>
      </c>
      <c r="CD13" s="91" t="e">
        <f>IF(AC13="-","-",VLOOKUP($G13,CTBat!$G$10:$AN$89,CD$9,FALSE)-AC13)</f>
        <v>#N/A</v>
      </c>
      <c r="CE13" s="91" t="e">
        <f>IF(AD13="-","-",VLOOKUP($G13,CTBat!$G$10:$AN$89,CE$9,FALSE)-AD13)</f>
        <v>#N/A</v>
      </c>
      <c r="CF13" s="91" t="str">
        <f>IF(AE13="-","-",VLOOKUP($G13,CTBat!$G$10:$AN$89,CF$9,FALSE)-AE13)</f>
        <v>-</v>
      </c>
      <c r="CG13" s="91" t="str">
        <f>IF(AF13="-","-",VLOOKUP($G13,CTBat!$G$10:$AN$89,CG$9,FALSE)-AF13)</f>
        <v>-</v>
      </c>
      <c r="CH13" s="91" t="str">
        <f>IF(AG13="-","-",VLOOKUP($G13,CTBat!$G$10:$AN$89,CH$9,FALSE)-AG13)</f>
        <v>-</v>
      </c>
      <c r="CI13" s="91" t="str">
        <f>IF(AH13="-","-",VLOOKUP($G13,CTBat!$G$10:$AN$89,CI$9,FALSE)-AH13)</f>
        <v>-</v>
      </c>
      <c r="CJ13" s="91" t="str">
        <f>IF(AI13="-","-",VLOOKUP($G13,CTBat!$G$10:$AN$89,CJ$9,FALSE)-AI13)</f>
        <v>-</v>
      </c>
      <c r="CK13" s="91" t="str">
        <f>IF(AJ13="-","-",VLOOKUP($G13,CTBat!$G$10:$AN$89,CK$9,FALSE)-AJ13)</f>
        <v>-</v>
      </c>
      <c r="CL13" s="91" t="str">
        <f>IF(AK13="-","-",VLOOKUP($G13,CTBat!$G$10:$AN$89,CL$9,FALSE)-AK13)</f>
        <v>-</v>
      </c>
      <c r="CM13" s="91" t="e">
        <f>IF(AL13="-","-",VLOOKUP($G13,CTBat!$G$10:$AN$89,CM$9,FALSE)-AL13)</f>
        <v>#N/A</v>
      </c>
      <c r="CN13" s="91" t="e">
        <f>IF(AM13="-","-",VLOOKUP($G13,CTBat!$G$10:$AN$89,CN$9,FALSE)-AM13)</f>
        <v>#N/A</v>
      </c>
      <c r="CO13" s="91" t="e">
        <f>IF(AN13="-","-",VLOOKUP($G13,CTBat!$G$10:$AN$89,CO$9,FALSE)-AN13)</f>
        <v>#N/A</v>
      </c>
      <c r="CP13" s="91" t="e">
        <f t="shared" si="43"/>
        <v>#N/A</v>
      </c>
      <c r="CQ13" s="91" t="e">
        <f t="shared" si="44"/>
        <v>#N/A</v>
      </c>
      <c r="CR13" s="91" t="e">
        <f t="shared" si="45"/>
        <v>#N/A</v>
      </c>
      <c r="CS13" s="91" t="e">
        <f t="shared" si="46"/>
        <v>#N/A</v>
      </c>
      <c r="CT13" s="91" t="e">
        <f t="shared" si="47"/>
        <v>#N/A</v>
      </c>
    </row>
    <row r="14" spans="1:98">
      <c r="C14" t="str">
        <f t="shared" si="13"/>
        <v>-</v>
      </c>
      <c r="D14" t="str">
        <f t="shared" si="14"/>
        <v>-</v>
      </c>
      <c r="E14" t="str">
        <f t="shared" si="15"/>
        <v>K</v>
      </c>
      <c r="F14" t="s">
        <v>95</v>
      </c>
      <c r="G14" t="s">
        <v>306</v>
      </c>
      <c r="H14" t="s">
        <v>385</v>
      </c>
      <c r="I14" t="s">
        <v>214</v>
      </c>
      <c r="J14">
        <v>23</v>
      </c>
      <c r="K14" t="s">
        <v>107</v>
      </c>
      <c r="L14" t="s">
        <v>107</v>
      </c>
      <c r="M14" t="s">
        <v>47</v>
      </c>
      <c r="N14" s="3" t="s">
        <v>47</v>
      </c>
      <c r="O14" t="s">
        <v>229</v>
      </c>
      <c r="P14" s="3" t="s">
        <v>229</v>
      </c>
      <c r="Q14">
        <v>4</v>
      </c>
      <c r="R14">
        <v>4</v>
      </c>
      <c r="S14">
        <v>3</v>
      </c>
      <c r="T14">
        <v>4</v>
      </c>
      <c r="U14" s="3">
        <v>3</v>
      </c>
      <c r="V14">
        <v>4</v>
      </c>
      <c r="W14">
        <v>4</v>
      </c>
      <c r="X14">
        <v>3</v>
      </c>
      <c r="Y14">
        <v>4</v>
      </c>
      <c r="Z14" s="3">
        <v>3</v>
      </c>
      <c r="AA14">
        <v>6</v>
      </c>
      <c r="AB14">
        <v>6</v>
      </c>
      <c r="AC14">
        <v>9</v>
      </c>
      <c r="AD14">
        <v>5</v>
      </c>
      <c r="AE14">
        <v>1</v>
      </c>
      <c r="AF14" t="s">
        <v>41</v>
      </c>
      <c r="AG14">
        <v>1</v>
      </c>
      <c r="AH14" t="s">
        <v>41</v>
      </c>
      <c r="AI14" t="s">
        <v>41</v>
      </c>
      <c r="AJ14" t="s">
        <v>41</v>
      </c>
      <c r="AK14" s="3" t="s">
        <v>41</v>
      </c>
      <c r="AL14">
        <v>1</v>
      </c>
      <c r="AM14">
        <v>1</v>
      </c>
      <c r="AN14" s="3">
        <v>1</v>
      </c>
      <c r="AO14" s="85" t="s">
        <v>41</v>
      </c>
      <c r="AP14" s="3">
        <v>0</v>
      </c>
      <c r="AQ14" s="6">
        <f t="shared" si="16"/>
        <v>2.6666666666666665</v>
      </c>
      <c r="AR14" s="9" t="str">
        <f t="shared" si="17"/>
        <v>Minors</v>
      </c>
      <c r="AS14" s="6">
        <f t="shared" si="18"/>
        <v>2.6666666666666665</v>
      </c>
      <c r="AT14" s="6" t="str">
        <f t="shared" si="19"/>
        <v>Minors</v>
      </c>
      <c r="AU14" s="9">
        <f t="shared" si="20"/>
        <v>2.6666666666666665</v>
      </c>
      <c r="AV14" s="9" t="str">
        <f t="shared" si="21"/>
        <v>Minors</v>
      </c>
      <c r="AW14" s="53">
        <f t="shared" si="22"/>
        <v>0</v>
      </c>
      <c r="AX14" s="5">
        <f t="shared" si="23"/>
        <v>0</v>
      </c>
      <c r="AY14" s="5">
        <f t="shared" si="24"/>
        <v>0</v>
      </c>
      <c r="AZ14" s="5">
        <f t="shared" si="25"/>
        <v>0</v>
      </c>
      <c r="BA14" s="5">
        <f t="shared" si="26"/>
        <v>0</v>
      </c>
      <c r="BB14" s="5">
        <f t="shared" si="27"/>
        <v>0</v>
      </c>
      <c r="BC14" s="5">
        <f t="shared" si="28"/>
        <v>0</v>
      </c>
      <c r="BD14" s="5">
        <f t="shared" si="29"/>
        <v>0</v>
      </c>
      <c r="BE14" s="3">
        <f t="shared" si="30"/>
        <v>0</v>
      </c>
      <c r="BF14" s="53">
        <f t="shared" si="31"/>
        <v>0</v>
      </c>
      <c r="BG14" s="5">
        <f t="shared" si="32"/>
        <v>0</v>
      </c>
      <c r="BH14" s="5">
        <f t="shared" si="33"/>
        <v>0</v>
      </c>
      <c r="BI14" s="5">
        <f t="shared" si="34"/>
        <v>0</v>
      </c>
      <c r="BJ14" s="5">
        <f t="shared" si="35"/>
        <v>0</v>
      </c>
      <c r="BK14" s="5">
        <f t="shared" si="36"/>
        <v>0</v>
      </c>
      <c r="BL14" s="5">
        <f t="shared" si="37"/>
        <v>0</v>
      </c>
      <c r="BM14" s="5">
        <f t="shared" si="38"/>
        <v>0</v>
      </c>
      <c r="BN14" s="3">
        <f t="shared" si="39"/>
        <v>0</v>
      </c>
      <c r="BO14" s="3">
        <f t="shared" si="40"/>
        <v>0</v>
      </c>
      <c r="BP14" s="7">
        <f t="shared" si="41"/>
        <v>1</v>
      </c>
      <c r="BQ14" t="str">
        <f t="shared" si="42"/>
        <v/>
      </c>
      <c r="BR14" s="91" t="e">
        <f>IF(Q14="-","-",VLOOKUP($G14,CTBat!$G$10:$AN$89,BR$9,FALSE)-Q14)</f>
        <v>#N/A</v>
      </c>
      <c r="BS14" s="91" t="e">
        <f>IF(R14="-","-",VLOOKUP($G14,CTBat!$G$10:$AN$89,BS$9,FALSE)-R14)</f>
        <v>#N/A</v>
      </c>
      <c r="BT14" s="91" t="e">
        <f>IF(S14="-","-",VLOOKUP($G14,CTBat!$G$10:$AN$89,BT$9,FALSE)-S14)</f>
        <v>#N/A</v>
      </c>
      <c r="BU14" s="91" t="e">
        <f>IF(T14="-","-",VLOOKUP($G14,CTBat!$G$10:$AN$89,BU$9,FALSE)-T14)</f>
        <v>#N/A</v>
      </c>
      <c r="BV14" s="91" t="e">
        <f>IF(U14="-","-",VLOOKUP($G14,CTBat!$G$10:$AN$89,BV$9,FALSE)-U14)</f>
        <v>#N/A</v>
      </c>
      <c r="BW14" s="91" t="e">
        <f>IF(V14="-","-",VLOOKUP($G14,CTBat!$G$10:$AN$89,BW$9,FALSE)-V14)</f>
        <v>#N/A</v>
      </c>
      <c r="BX14" s="91" t="e">
        <f>IF(W14="-","-",VLOOKUP($G14,CTBat!$G$10:$AN$89,BX$9,FALSE)-W14)</f>
        <v>#N/A</v>
      </c>
      <c r="BY14" s="91" t="e">
        <f>IF(X14="-","-",VLOOKUP($G14,CTBat!$G$10:$AN$89,BY$9,FALSE)-X14)</f>
        <v>#N/A</v>
      </c>
      <c r="BZ14" s="91" t="e">
        <f>IF(Y14="-","-",VLOOKUP($G14,CTBat!$G$10:$AN$89,BZ$9,FALSE)-Y14)</f>
        <v>#N/A</v>
      </c>
      <c r="CA14" s="91" t="e">
        <f>IF(Z14="-","-",VLOOKUP($G14,CTBat!$G$10:$AN$89,CA$9,FALSE)-Z14)</f>
        <v>#N/A</v>
      </c>
      <c r="CB14" s="91" t="e">
        <f>IF(AA14="-","-",VLOOKUP($G14,CTBat!$G$10:$AN$89,CB$9,FALSE)-AA14)</f>
        <v>#N/A</v>
      </c>
      <c r="CC14" s="91" t="e">
        <f>IF(AB14="-","-",VLOOKUP($G14,CTBat!$G$10:$AN$89,CC$9,FALSE)-AB14)</f>
        <v>#N/A</v>
      </c>
      <c r="CD14" s="91" t="e">
        <f>IF(AC14="-","-",VLOOKUP($G14,CTBat!$G$10:$AN$89,CD$9,FALSE)-AC14)</f>
        <v>#N/A</v>
      </c>
      <c r="CE14" s="91" t="e">
        <f>IF(AD14="-","-",VLOOKUP($G14,CTBat!$G$10:$AN$89,CE$9,FALSE)-AD14)</f>
        <v>#N/A</v>
      </c>
      <c r="CF14" s="91" t="e">
        <f>IF(AE14="-","-",VLOOKUP($G14,CTBat!$G$10:$AN$89,CF$9,FALSE)-AE14)</f>
        <v>#N/A</v>
      </c>
      <c r="CG14" s="91" t="str">
        <f>IF(AF14="-","-",VLOOKUP($G14,CTBat!$G$10:$AN$89,CG$9,FALSE)-AF14)</f>
        <v>-</v>
      </c>
      <c r="CH14" s="91" t="e">
        <f>IF(AG14="-","-",VLOOKUP($G14,CTBat!$G$10:$AN$89,CH$9,FALSE)-AG14)</f>
        <v>#N/A</v>
      </c>
      <c r="CI14" s="91" t="str">
        <f>IF(AH14="-","-",VLOOKUP($G14,CTBat!$G$10:$AN$89,CI$9,FALSE)-AH14)</f>
        <v>-</v>
      </c>
      <c r="CJ14" s="91" t="str">
        <f>IF(AI14="-","-",VLOOKUP($G14,CTBat!$G$10:$AN$89,CJ$9,FALSE)-AI14)</f>
        <v>-</v>
      </c>
      <c r="CK14" s="91" t="str">
        <f>IF(AJ14="-","-",VLOOKUP($G14,CTBat!$G$10:$AN$89,CK$9,FALSE)-AJ14)</f>
        <v>-</v>
      </c>
      <c r="CL14" s="91" t="str">
        <f>IF(AK14="-","-",VLOOKUP($G14,CTBat!$G$10:$AN$89,CL$9,FALSE)-AK14)</f>
        <v>-</v>
      </c>
      <c r="CM14" s="91" t="e">
        <f>IF(AL14="-","-",VLOOKUP($G14,CTBat!$G$10:$AN$89,CM$9,FALSE)-AL14)</f>
        <v>#N/A</v>
      </c>
      <c r="CN14" s="91" t="e">
        <f>IF(AM14="-","-",VLOOKUP($G14,CTBat!$G$10:$AN$89,CN$9,FALSE)-AM14)</f>
        <v>#N/A</v>
      </c>
      <c r="CO14" s="91" t="e">
        <f>IF(AN14="-","-",VLOOKUP($G14,CTBat!$G$10:$AN$89,CO$9,FALSE)-AN14)</f>
        <v>#N/A</v>
      </c>
      <c r="CP14" s="91" t="e">
        <f t="shared" si="43"/>
        <v>#N/A</v>
      </c>
      <c r="CQ14" s="91" t="e">
        <f t="shared" si="44"/>
        <v>#N/A</v>
      </c>
      <c r="CR14" s="91" t="e">
        <f t="shared" si="45"/>
        <v>#N/A</v>
      </c>
      <c r="CS14" s="91" t="e">
        <f t="shared" si="46"/>
        <v>#N/A</v>
      </c>
      <c r="CT14" s="91" t="e">
        <f t="shared" si="47"/>
        <v>#N/A</v>
      </c>
    </row>
    <row r="15" spans="1:98">
      <c r="C15" t="str">
        <f t="shared" si="13"/>
        <v>-</v>
      </c>
      <c r="D15" t="str">
        <f t="shared" si="14"/>
        <v>-</v>
      </c>
      <c r="E15" t="str">
        <f t="shared" si="15"/>
        <v>K</v>
      </c>
      <c r="F15" t="s">
        <v>95</v>
      </c>
      <c r="G15" t="s">
        <v>237</v>
      </c>
      <c r="H15" t="s">
        <v>384</v>
      </c>
      <c r="I15" t="s">
        <v>213</v>
      </c>
      <c r="J15">
        <v>28</v>
      </c>
      <c r="K15" t="s">
        <v>106</v>
      </c>
      <c r="L15" t="s">
        <v>107</v>
      </c>
      <c r="M15" t="s">
        <v>47</v>
      </c>
      <c r="N15" s="242" t="s">
        <v>47</v>
      </c>
      <c r="O15" t="s">
        <v>229</v>
      </c>
      <c r="P15" s="242" t="s">
        <v>229</v>
      </c>
      <c r="Q15">
        <v>4</v>
      </c>
      <c r="R15">
        <v>4</v>
      </c>
      <c r="S15">
        <v>2</v>
      </c>
      <c r="T15">
        <v>4</v>
      </c>
      <c r="U15" s="242">
        <v>4</v>
      </c>
      <c r="V15">
        <v>4</v>
      </c>
      <c r="W15">
        <v>4</v>
      </c>
      <c r="X15">
        <v>2</v>
      </c>
      <c r="Y15">
        <v>4</v>
      </c>
      <c r="Z15" s="242">
        <v>4</v>
      </c>
      <c r="AA15">
        <v>5</v>
      </c>
      <c r="AB15">
        <v>4</v>
      </c>
      <c r="AC15">
        <v>6</v>
      </c>
      <c r="AD15">
        <v>7</v>
      </c>
      <c r="AE15">
        <v>1</v>
      </c>
      <c r="AF15" t="s">
        <v>41</v>
      </c>
      <c r="AG15" t="s">
        <v>41</v>
      </c>
      <c r="AH15" t="s">
        <v>41</v>
      </c>
      <c r="AI15" t="s">
        <v>41</v>
      </c>
      <c r="AJ15" t="s">
        <v>41</v>
      </c>
      <c r="AK15" s="242" t="s">
        <v>41</v>
      </c>
      <c r="AL15">
        <v>1</v>
      </c>
      <c r="AM15">
        <v>2</v>
      </c>
      <c r="AN15" s="242">
        <v>3</v>
      </c>
      <c r="AO15" s="85" t="s">
        <v>41</v>
      </c>
      <c r="AP15" s="242">
        <v>0</v>
      </c>
      <c r="AQ15" s="6">
        <f t="shared" si="16"/>
        <v>2.3333333333333335</v>
      </c>
      <c r="AR15" s="9" t="str">
        <f t="shared" si="17"/>
        <v>Minors</v>
      </c>
      <c r="AS15" s="6">
        <f t="shared" si="18"/>
        <v>2.3333333333333335</v>
      </c>
      <c r="AT15" s="6" t="str">
        <f t="shared" si="19"/>
        <v>Minors</v>
      </c>
      <c r="AU15" s="9">
        <f t="shared" si="20"/>
        <v>2.3333333333333335</v>
      </c>
      <c r="AV15" s="9" t="str">
        <f t="shared" si="21"/>
        <v>Minors</v>
      </c>
      <c r="AW15" s="53">
        <f t="shared" si="22"/>
        <v>0</v>
      </c>
      <c r="AX15" s="241">
        <f t="shared" si="23"/>
        <v>0</v>
      </c>
      <c r="AY15" s="241">
        <f t="shared" si="24"/>
        <v>0</v>
      </c>
      <c r="AZ15" s="241">
        <f t="shared" si="25"/>
        <v>0</v>
      </c>
      <c r="BA15" s="241">
        <f t="shared" si="26"/>
        <v>0</v>
      </c>
      <c r="BB15" s="241">
        <f t="shared" si="27"/>
        <v>0</v>
      </c>
      <c r="BC15" s="241">
        <f t="shared" si="28"/>
        <v>0</v>
      </c>
      <c r="BD15" s="241">
        <f t="shared" si="29"/>
        <v>0</v>
      </c>
      <c r="BE15" s="242">
        <f t="shared" si="30"/>
        <v>0</v>
      </c>
      <c r="BF15" s="53">
        <f t="shared" si="31"/>
        <v>0</v>
      </c>
      <c r="BG15" s="241">
        <f t="shared" si="32"/>
        <v>0</v>
      </c>
      <c r="BH15" s="241">
        <f t="shared" si="33"/>
        <v>0</v>
      </c>
      <c r="BI15" s="241">
        <f t="shared" si="34"/>
        <v>0</v>
      </c>
      <c r="BJ15" s="241">
        <f t="shared" si="35"/>
        <v>0</v>
      </c>
      <c r="BK15" s="241">
        <f t="shared" si="36"/>
        <v>0</v>
      </c>
      <c r="BL15" s="241">
        <f t="shared" si="37"/>
        <v>0</v>
      </c>
      <c r="BM15" s="241">
        <f t="shared" si="38"/>
        <v>0</v>
      </c>
      <c r="BN15" s="242">
        <f t="shared" si="39"/>
        <v>0</v>
      </c>
      <c r="BO15" s="242">
        <f t="shared" si="40"/>
        <v>0</v>
      </c>
      <c r="BP15" s="7">
        <f t="shared" si="41"/>
        <v>2</v>
      </c>
      <c r="BQ15" t="str">
        <f t="shared" si="42"/>
        <v/>
      </c>
      <c r="BR15" s="91" t="e">
        <f>IF(Q15="-","-",VLOOKUP($G15,CTBat!$G$10:$AN$89,BR$9,FALSE)-Q15)</f>
        <v>#N/A</v>
      </c>
      <c r="BS15" s="91" t="e">
        <f>IF(R15="-","-",VLOOKUP($G15,CTBat!$G$10:$AN$89,BS$9,FALSE)-R15)</f>
        <v>#N/A</v>
      </c>
      <c r="BT15" s="91" t="e">
        <f>IF(S15="-","-",VLOOKUP($G15,CTBat!$G$10:$AN$89,BT$9,FALSE)-S15)</f>
        <v>#N/A</v>
      </c>
      <c r="BU15" s="91" t="e">
        <f>IF(T15="-","-",VLOOKUP($G15,CTBat!$G$10:$AN$89,BU$9,FALSE)-T15)</f>
        <v>#N/A</v>
      </c>
      <c r="BV15" s="91" t="e">
        <f>IF(U15="-","-",VLOOKUP($G15,CTBat!$G$10:$AN$89,BV$9,FALSE)-U15)</f>
        <v>#N/A</v>
      </c>
      <c r="BW15" s="91" t="e">
        <f>IF(V15="-","-",VLOOKUP($G15,CTBat!$G$10:$AN$89,BW$9,FALSE)-V15)</f>
        <v>#N/A</v>
      </c>
      <c r="BX15" s="91" t="e">
        <f>IF(W15="-","-",VLOOKUP($G15,CTBat!$G$10:$AN$89,BX$9,FALSE)-W15)</f>
        <v>#N/A</v>
      </c>
      <c r="BY15" s="91" t="e">
        <f>IF(X15="-","-",VLOOKUP($G15,CTBat!$G$10:$AN$89,BY$9,FALSE)-X15)</f>
        <v>#N/A</v>
      </c>
      <c r="BZ15" s="91" t="e">
        <f>IF(Y15="-","-",VLOOKUP($G15,CTBat!$G$10:$AN$89,BZ$9,FALSE)-Y15)</f>
        <v>#N/A</v>
      </c>
      <c r="CA15" s="91" t="e">
        <f>IF(Z15="-","-",VLOOKUP($G15,CTBat!$G$10:$AN$89,CA$9,FALSE)-Z15)</f>
        <v>#N/A</v>
      </c>
      <c r="CB15" s="91" t="e">
        <f>IF(AA15="-","-",VLOOKUP($G15,CTBat!$G$10:$AN$89,CB$9,FALSE)-AA15)</f>
        <v>#N/A</v>
      </c>
      <c r="CC15" s="91" t="e">
        <f>IF(AB15="-","-",VLOOKUP($G15,CTBat!$G$10:$AN$89,CC$9,FALSE)-AB15)</f>
        <v>#N/A</v>
      </c>
      <c r="CD15" s="91" t="e">
        <f>IF(AC15="-","-",VLOOKUP($G15,CTBat!$G$10:$AN$89,CD$9,FALSE)-AC15)</f>
        <v>#N/A</v>
      </c>
      <c r="CE15" s="91" t="e">
        <f>IF(AD15="-","-",VLOOKUP($G15,CTBat!$G$10:$AN$89,CE$9,FALSE)-AD15)</f>
        <v>#N/A</v>
      </c>
      <c r="CF15" s="91" t="e">
        <f>IF(AE15="-","-",VLOOKUP($G15,CTBat!$G$10:$AN$89,CF$9,FALSE)-AE15)</f>
        <v>#N/A</v>
      </c>
      <c r="CG15" s="91" t="str">
        <f>IF(AF15="-","-",VLOOKUP($G15,CTBat!$G$10:$AN$89,CG$9,FALSE)-AF15)</f>
        <v>-</v>
      </c>
      <c r="CH15" s="91" t="str">
        <f>IF(AG15="-","-",VLOOKUP($G15,CTBat!$G$10:$AN$89,CH$9,FALSE)-AG15)</f>
        <v>-</v>
      </c>
      <c r="CI15" s="91" t="str">
        <f>IF(AH15="-","-",VLOOKUP($G15,CTBat!$G$10:$AN$89,CI$9,FALSE)-AH15)</f>
        <v>-</v>
      </c>
      <c r="CJ15" s="91" t="str">
        <f>IF(AI15="-","-",VLOOKUP($G15,CTBat!$G$10:$AN$89,CJ$9,FALSE)-AI15)</f>
        <v>-</v>
      </c>
      <c r="CK15" s="91" t="str">
        <f>IF(AJ15="-","-",VLOOKUP($G15,CTBat!$G$10:$AN$89,CK$9,FALSE)-AJ15)</f>
        <v>-</v>
      </c>
      <c r="CL15" s="91" t="str">
        <f>IF(AK15="-","-",VLOOKUP($G15,CTBat!$G$10:$AN$89,CL$9,FALSE)-AK15)</f>
        <v>-</v>
      </c>
      <c r="CM15" s="91" t="e">
        <f>IF(AL15="-","-",VLOOKUP($G15,CTBat!$G$10:$AN$89,CM$9,FALSE)-AL15)</f>
        <v>#N/A</v>
      </c>
      <c r="CN15" s="91" t="e">
        <f>IF(AM15="-","-",VLOOKUP($G15,CTBat!$G$10:$AN$89,CN$9,FALSE)-AM15)</f>
        <v>#N/A</v>
      </c>
      <c r="CO15" s="91" t="e">
        <f>IF(AN15="-","-",VLOOKUP($G15,CTBat!$G$10:$AN$89,CO$9,FALSE)-AN15)</f>
        <v>#N/A</v>
      </c>
      <c r="CP15" s="91" t="e">
        <f t="shared" si="43"/>
        <v>#N/A</v>
      </c>
      <c r="CQ15" s="91" t="e">
        <f t="shared" si="44"/>
        <v>#N/A</v>
      </c>
      <c r="CR15" s="91" t="e">
        <f t="shared" si="45"/>
        <v>#N/A</v>
      </c>
      <c r="CS15" s="91" t="e">
        <f t="shared" si="46"/>
        <v>#N/A</v>
      </c>
      <c r="CT15" s="91" t="e">
        <f t="shared" si="47"/>
        <v>#N/A</v>
      </c>
    </row>
    <row r="16" spans="1:98">
      <c r="C16" t="str">
        <f t="shared" si="13"/>
        <v>-</v>
      </c>
      <c r="D16" t="str">
        <f t="shared" si="14"/>
        <v>-</v>
      </c>
      <c r="E16" t="str">
        <f t="shared" si="15"/>
        <v>K</v>
      </c>
      <c r="F16" t="s">
        <v>101</v>
      </c>
      <c r="G16" t="s">
        <v>439</v>
      </c>
      <c r="H16" t="s">
        <v>383</v>
      </c>
      <c r="I16" t="s">
        <v>327</v>
      </c>
      <c r="J16">
        <v>23</v>
      </c>
      <c r="K16" t="s">
        <v>107</v>
      </c>
      <c r="L16" t="s">
        <v>107</v>
      </c>
      <c r="M16" t="s">
        <v>47</v>
      </c>
      <c r="N16" s="216" t="s">
        <v>47</v>
      </c>
      <c r="O16" t="s">
        <v>232</v>
      </c>
      <c r="P16" s="216" t="s">
        <v>228</v>
      </c>
      <c r="Q16">
        <v>2</v>
      </c>
      <c r="R16">
        <v>6</v>
      </c>
      <c r="S16">
        <v>2</v>
      </c>
      <c r="T16">
        <v>2</v>
      </c>
      <c r="U16" s="216">
        <v>3</v>
      </c>
      <c r="V16">
        <v>2</v>
      </c>
      <c r="W16">
        <v>6</v>
      </c>
      <c r="X16">
        <v>2</v>
      </c>
      <c r="Y16">
        <v>2</v>
      </c>
      <c r="Z16" s="216">
        <v>4</v>
      </c>
      <c r="AA16">
        <v>1</v>
      </c>
      <c r="AB16">
        <v>7</v>
      </c>
      <c r="AC16">
        <v>1</v>
      </c>
      <c r="AD16" t="s">
        <v>41</v>
      </c>
      <c r="AE16" t="s">
        <v>41</v>
      </c>
      <c r="AF16" t="s">
        <v>41</v>
      </c>
      <c r="AG16" t="s">
        <v>41</v>
      </c>
      <c r="AH16" t="s">
        <v>41</v>
      </c>
      <c r="AI16">
        <v>10</v>
      </c>
      <c r="AJ16">
        <v>7</v>
      </c>
      <c r="AK16" s="216">
        <v>6</v>
      </c>
      <c r="AL16">
        <v>8</v>
      </c>
      <c r="AM16">
        <v>9</v>
      </c>
      <c r="AN16" s="216">
        <v>7</v>
      </c>
      <c r="AO16" s="85" t="s">
        <v>41</v>
      </c>
      <c r="AP16" s="216">
        <v>0</v>
      </c>
      <c r="AQ16" s="6">
        <f t="shared" si="16"/>
        <v>0</v>
      </c>
      <c r="AR16" s="9" t="str">
        <f t="shared" si="17"/>
        <v>Minors</v>
      </c>
      <c r="AS16" s="6">
        <f t="shared" si="18"/>
        <v>0</v>
      </c>
      <c r="AT16" s="6" t="str">
        <f t="shared" si="19"/>
        <v>Minors</v>
      </c>
      <c r="AU16" s="9">
        <f t="shared" si="20"/>
        <v>0</v>
      </c>
      <c r="AV16" s="9" t="str">
        <f t="shared" si="21"/>
        <v>Minors</v>
      </c>
      <c r="AW16" s="53">
        <f t="shared" si="22"/>
        <v>0</v>
      </c>
      <c r="AX16" s="215">
        <f t="shared" si="23"/>
        <v>0</v>
      </c>
      <c r="AY16" s="215">
        <f t="shared" si="24"/>
        <v>0</v>
      </c>
      <c r="AZ16" s="215">
        <f t="shared" si="25"/>
        <v>0</v>
      </c>
      <c r="BA16" s="215">
        <f t="shared" si="26"/>
        <v>0</v>
      </c>
      <c r="BB16" s="215">
        <f t="shared" si="27"/>
        <v>0</v>
      </c>
      <c r="BC16" s="215">
        <f t="shared" si="28"/>
        <v>0</v>
      </c>
      <c r="BD16" s="215">
        <f t="shared" si="29"/>
        <v>0</v>
      </c>
      <c r="BE16" s="216">
        <f t="shared" si="30"/>
        <v>0</v>
      </c>
      <c r="BF16" s="53">
        <f t="shared" si="31"/>
        <v>0</v>
      </c>
      <c r="BG16" s="215">
        <f t="shared" si="32"/>
        <v>0</v>
      </c>
      <c r="BH16" s="215">
        <f t="shared" si="33"/>
        <v>0</v>
      </c>
      <c r="BI16" s="215">
        <f t="shared" si="34"/>
        <v>0</v>
      </c>
      <c r="BJ16" s="215">
        <f t="shared" si="35"/>
        <v>0</v>
      </c>
      <c r="BK16" s="215">
        <f t="shared" si="36"/>
        <v>0</v>
      </c>
      <c r="BL16" s="215">
        <f t="shared" si="37"/>
        <v>0</v>
      </c>
      <c r="BM16" s="215">
        <f t="shared" si="38"/>
        <v>0</v>
      </c>
      <c r="BN16" s="216">
        <f t="shared" si="39"/>
        <v>0</v>
      </c>
      <c r="BO16" s="216">
        <f t="shared" si="40"/>
        <v>4</v>
      </c>
      <c r="BP16" s="7">
        <f t="shared" si="41"/>
        <v>2</v>
      </c>
      <c r="BQ16" t="str">
        <f t="shared" si="42"/>
        <v/>
      </c>
      <c r="BR16" s="91" t="e">
        <f>IF(Q16="-","-",VLOOKUP($G16,CTBat!$G$10:$AN$89,BR$9,FALSE)-Q16)</f>
        <v>#N/A</v>
      </c>
      <c r="BS16" s="91" t="e">
        <f>IF(R16="-","-",VLOOKUP($G16,CTBat!$G$10:$AN$89,BS$9,FALSE)-R16)</f>
        <v>#N/A</v>
      </c>
      <c r="BT16" s="91" t="e">
        <f>IF(S16="-","-",VLOOKUP($G16,CTBat!$G$10:$AN$89,BT$9,FALSE)-S16)</f>
        <v>#N/A</v>
      </c>
      <c r="BU16" s="91" t="e">
        <f>IF(T16="-","-",VLOOKUP($G16,CTBat!$G$10:$AN$89,BU$9,FALSE)-T16)</f>
        <v>#N/A</v>
      </c>
      <c r="BV16" s="91" t="e">
        <f>IF(U16="-","-",VLOOKUP($G16,CTBat!$G$10:$AN$89,BV$9,FALSE)-U16)</f>
        <v>#N/A</v>
      </c>
      <c r="BW16" s="91" t="e">
        <f>IF(V16="-","-",VLOOKUP($G16,CTBat!$G$10:$AN$89,BW$9,FALSE)-V16)</f>
        <v>#N/A</v>
      </c>
      <c r="BX16" s="91" t="e">
        <f>IF(W16="-","-",VLOOKUP($G16,CTBat!$G$10:$AN$89,BX$9,FALSE)-W16)</f>
        <v>#N/A</v>
      </c>
      <c r="BY16" s="91" t="e">
        <f>IF(X16="-","-",VLOOKUP($G16,CTBat!$G$10:$AN$89,BY$9,FALSE)-X16)</f>
        <v>#N/A</v>
      </c>
      <c r="BZ16" s="91" t="e">
        <f>IF(Y16="-","-",VLOOKUP($G16,CTBat!$G$10:$AN$89,BZ$9,FALSE)-Y16)</f>
        <v>#N/A</v>
      </c>
      <c r="CA16" s="91" t="e">
        <f>IF(Z16="-","-",VLOOKUP($G16,CTBat!$G$10:$AN$89,CA$9,FALSE)-Z16)</f>
        <v>#N/A</v>
      </c>
      <c r="CB16" s="91" t="e">
        <f>IF(AA16="-","-",VLOOKUP($G16,CTBat!$G$10:$AN$89,CB$9,FALSE)-AA16)</f>
        <v>#N/A</v>
      </c>
      <c r="CC16" s="91" t="e">
        <f>IF(AB16="-","-",VLOOKUP($G16,CTBat!$G$10:$AN$89,CC$9,FALSE)-AB16)</f>
        <v>#N/A</v>
      </c>
      <c r="CD16" s="91" t="e">
        <f>IF(AC16="-","-",VLOOKUP($G16,CTBat!$G$10:$AN$89,CD$9,FALSE)-AC16)</f>
        <v>#N/A</v>
      </c>
      <c r="CE16" s="91" t="str">
        <f>IF(AD16="-","-",VLOOKUP($G16,CTBat!$G$10:$AN$89,CE$9,FALSE)-AD16)</f>
        <v>-</v>
      </c>
      <c r="CF16" s="91" t="str">
        <f>IF(AE16="-","-",VLOOKUP($G16,CTBat!$G$10:$AN$89,CF$9,FALSE)-AE16)</f>
        <v>-</v>
      </c>
      <c r="CG16" s="91" t="str">
        <f>IF(AF16="-","-",VLOOKUP($G16,CTBat!$G$10:$AN$89,CG$9,FALSE)-AF16)</f>
        <v>-</v>
      </c>
      <c r="CH16" s="91" t="str">
        <f>IF(AG16="-","-",VLOOKUP($G16,CTBat!$G$10:$AN$89,CH$9,FALSE)-AG16)</f>
        <v>-</v>
      </c>
      <c r="CI16" s="91" t="str">
        <f>IF(AH16="-","-",VLOOKUP($G16,CTBat!$G$10:$AN$89,CI$9,FALSE)-AH16)</f>
        <v>-</v>
      </c>
      <c r="CJ16" s="91" t="e">
        <f>IF(AI16="-","-",VLOOKUP($G16,CTBat!$G$10:$AN$89,CJ$9,FALSE)-AI16)</f>
        <v>#N/A</v>
      </c>
      <c r="CK16" s="91" t="e">
        <f>IF(AJ16="-","-",VLOOKUP($G16,CTBat!$G$10:$AN$89,CK$9,FALSE)-AJ16)</f>
        <v>#N/A</v>
      </c>
      <c r="CL16" s="91" t="e">
        <f>IF(AK16="-","-",VLOOKUP($G16,CTBat!$G$10:$AN$89,CL$9,FALSE)-AK16)</f>
        <v>#N/A</v>
      </c>
      <c r="CM16" s="91" t="e">
        <f>IF(AL16="-","-",VLOOKUP($G16,CTBat!$G$10:$AN$89,CM$9,FALSE)-AL16)</f>
        <v>#N/A</v>
      </c>
      <c r="CN16" s="91" t="e">
        <f>IF(AM16="-","-",VLOOKUP($G16,CTBat!$G$10:$AN$89,CN$9,FALSE)-AM16)</f>
        <v>#N/A</v>
      </c>
      <c r="CO16" s="91" t="e">
        <f>IF(AN16="-","-",VLOOKUP($G16,CTBat!$G$10:$AN$89,CO$9,FALSE)-AN16)</f>
        <v>#N/A</v>
      </c>
      <c r="CP16" s="91" t="e">
        <f t="shared" si="43"/>
        <v>#N/A</v>
      </c>
      <c r="CQ16" s="91" t="e">
        <f t="shared" si="44"/>
        <v>#N/A</v>
      </c>
      <c r="CR16" s="91" t="e">
        <f t="shared" si="45"/>
        <v>#N/A</v>
      </c>
      <c r="CS16" s="91" t="e">
        <f t="shared" si="46"/>
        <v>#N/A</v>
      </c>
      <c r="CT16" s="91" t="e">
        <f t="shared" si="47"/>
        <v>#N/A</v>
      </c>
    </row>
    <row r="17" spans="1:98">
      <c r="A17" s="91"/>
      <c r="B17" s="91"/>
      <c r="C17">
        <f t="shared" si="13"/>
        <v>2</v>
      </c>
      <c r="D17">
        <f t="shared" si="14"/>
        <v>2</v>
      </c>
      <c r="E17" t="str">
        <f t="shared" si="15"/>
        <v>K</v>
      </c>
      <c r="F17" t="s">
        <v>98</v>
      </c>
      <c r="G17" t="s">
        <v>200</v>
      </c>
      <c r="H17" t="s">
        <v>384</v>
      </c>
      <c r="I17" t="s">
        <v>213</v>
      </c>
      <c r="J17">
        <v>28</v>
      </c>
      <c r="K17" t="s">
        <v>107</v>
      </c>
      <c r="L17" t="s">
        <v>107</v>
      </c>
      <c r="M17" t="s">
        <v>47</v>
      </c>
      <c r="N17" s="214" t="s">
        <v>42</v>
      </c>
      <c r="O17" t="s">
        <v>229</v>
      </c>
      <c r="P17" s="214" t="s">
        <v>232</v>
      </c>
      <c r="Q17">
        <v>7</v>
      </c>
      <c r="R17">
        <v>7</v>
      </c>
      <c r="S17">
        <v>3</v>
      </c>
      <c r="T17">
        <v>6</v>
      </c>
      <c r="U17" s="214">
        <v>8</v>
      </c>
      <c r="V17">
        <v>7</v>
      </c>
      <c r="W17">
        <v>7</v>
      </c>
      <c r="X17">
        <v>3</v>
      </c>
      <c r="Y17">
        <v>7</v>
      </c>
      <c r="Z17" s="214">
        <v>8</v>
      </c>
      <c r="AA17">
        <v>4</v>
      </c>
      <c r="AB17">
        <v>1</v>
      </c>
      <c r="AC17">
        <v>1</v>
      </c>
      <c r="AD17" t="s">
        <v>41</v>
      </c>
      <c r="AE17" t="s">
        <v>41</v>
      </c>
      <c r="AF17">
        <v>9</v>
      </c>
      <c r="AG17">
        <v>2</v>
      </c>
      <c r="AH17">
        <v>6</v>
      </c>
      <c r="AI17" t="s">
        <v>41</v>
      </c>
      <c r="AJ17" t="s">
        <v>41</v>
      </c>
      <c r="AK17" s="214" t="s">
        <v>41</v>
      </c>
      <c r="AL17">
        <v>3</v>
      </c>
      <c r="AM17">
        <v>7</v>
      </c>
      <c r="AN17" s="214">
        <v>5</v>
      </c>
      <c r="AO17" s="85">
        <v>900000</v>
      </c>
      <c r="AP17" s="214" t="s">
        <v>46</v>
      </c>
      <c r="AQ17" s="6">
        <f t="shared" si="16"/>
        <v>5.833333333333333</v>
      </c>
      <c r="AR17" s="9" t="str">
        <f t="shared" si="17"/>
        <v>Reg</v>
      </c>
      <c r="AS17" s="6">
        <f t="shared" si="18"/>
        <v>6.166666666666667</v>
      </c>
      <c r="AT17" s="6" t="str">
        <f t="shared" si="19"/>
        <v>Reg</v>
      </c>
      <c r="AU17" s="9">
        <f t="shared" si="20"/>
        <v>5.833333333333333</v>
      </c>
      <c r="AV17" s="9" t="str">
        <f t="shared" si="21"/>
        <v>Reg</v>
      </c>
      <c r="AW17" s="53">
        <f t="shared" si="22"/>
        <v>0</v>
      </c>
      <c r="AX17" s="213">
        <f t="shared" si="23"/>
        <v>1</v>
      </c>
      <c r="AY17" s="213">
        <f t="shared" si="24"/>
        <v>0</v>
      </c>
      <c r="AZ17" s="213">
        <f t="shared" si="25"/>
        <v>0</v>
      </c>
      <c r="BA17" s="213">
        <f t="shared" si="26"/>
        <v>0</v>
      </c>
      <c r="BB17" s="213">
        <f t="shared" si="27"/>
        <v>1</v>
      </c>
      <c r="BC17" s="213">
        <f t="shared" si="28"/>
        <v>1</v>
      </c>
      <c r="BD17" s="213">
        <f t="shared" si="29"/>
        <v>1</v>
      </c>
      <c r="BE17" s="214">
        <f t="shared" si="30"/>
        <v>1</v>
      </c>
      <c r="BF17" s="53">
        <f t="shared" si="31"/>
        <v>0</v>
      </c>
      <c r="BG17" s="213">
        <f t="shared" si="32"/>
        <v>1</v>
      </c>
      <c r="BH17" s="213">
        <f t="shared" si="33"/>
        <v>0</v>
      </c>
      <c r="BI17" s="213">
        <f t="shared" si="34"/>
        <v>0</v>
      </c>
      <c r="BJ17" s="213">
        <f t="shared" si="35"/>
        <v>0</v>
      </c>
      <c r="BK17" s="213">
        <f t="shared" si="36"/>
        <v>1</v>
      </c>
      <c r="BL17" s="213">
        <f t="shared" si="37"/>
        <v>1</v>
      </c>
      <c r="BM17" s="213">
        <f t="shared" si="38"/>
        <v>1</v>
      </c>
      <c r="BN17" s="214">
        <f t="shared" si="39"/>
        <v>1</v>
      </c>
      <c r="BO17" s="214">
        <f t="shared" si="40"/>
        <v>0</v>
      </c>
      <c r="BP17" s="7">
        <f t="shared" si="41"/>
        <v>2</v>
      </c>
      <c r="BQ17" t="str">
        <f t="shared" si="42"/>
        <v/>
      </c>
      <c r="BR17" s="91">
        <f>IF(Q17="-","-",VLOOKUP($G17,CTBat!$G$10:$AN$89,BR$9,FALSE)-Q17)</f>
        <v>0</v>
      </c>
      <c r="BS17" s="91">
        <f>IF(R17="-","-",VLOOKUP($G17,CTBat!$G$10:$AN$89,BS$9,FALSE)-R17)</f>
        <v>0</v>
      </c>
      <c r="BT17" s="91">
        <f>IF(S17="-","-",VLOOKUP($G17,CTBat!$G$10:$AN$89,BT$9,FALSE)-S17)</f>
        <v>1</v>
      </c>
      <c r="BU17" s="91">
        <f>IF(T17="-","-",VLOOKUP($G17,CTBat!$G$10:$AN$89,BU$9,FALSE)-T17)</f>
        <v>0</v>
      </c>
      <c r="BV17" s="91">
        <f>IF(U17="-","-",VLOOKUP($G17,CTBat!$G$10:$AN$89,BV$9,FALSE)-U17)</f>
        <v>0</v>
      </c>
      <c r="BW17" s="91">
        <f>IF(V17="-","-",VLOOKUP($G17,CTBat!$G$10:$AN$89,BW$9,FALSE)-V17)</f>
        <v>0</v>
      </c>
      <c r="BX17" s="91">
        <f>IF(W17="-","-",VLOOKUP($G17,CTBat!$G$10:$AN$89,BX$9,FALSE)-W17)</f>
        <v>0</v>
      </c>
      <c r="BY17" s="91">
        <f>IF(X17="-","-",VLOOKUP($G17,CTBat!$G$10:$AN$89,BY$9,FALSE)-X17)</f>
        <v>1</v>
      </c>
      <c r="BZ17" s="91">
        <f>IF(Y17="-","-",VLOOKUP($G17,CTBat!$G$10:$AN$89,BZ$9,FALSE)-Y17)</f>
        <v>0</v>
      </c>
      <c r="CA17" s="91">
        <f>IF(Z17="-","-",VLOOKUP($G17,CTBat!$G$10:$AN$89,CA$9,FALSE)-Z17)</f>
        <v>0</v>
      </c>
      <c r="CB17" s="91">
        <f>IF(AA17="-","-",VLOOKUP($G17,CTBat!$G$10:$AN$89,CB$9,FALSE)-AA17)</f>
        <v>0</v>
      </c>
      <c r="CC17" s="91">
        <f>IF(AB17="-","-",VLOOKUP($G17,CTBat!$G$10:$AN$89,CC$9,FALSE)-AB17)</f>
        <v>0</v>
      </c>
      <c r="CD17" s="91">
        <f>IF(AC17="-","-",VLOOKUP($G17,CTBat!$G$10:$AN$89,CD$9,FALSE)-AC17)</f>
        <v>0</v>
      </c>
      <c r="CE17" s="91" t="str">
        <f>IF(AD17="-","-",VLOOKUP($G17,CTBat!$G$10:$AN$89,CE$9,FALSE)-AD17)</f>
        <v>-</v>
      </c>
      <c r="CF17" s="91" t="str">
        <f>IF(AE17="-","-",VLOOKUP($G17,CTBat!$G$10:$AN$89,CF$9,FALSE)-AE17)</f>
        <v>-</v>
      </c>
      <c r="CG17" s="91">
        <f>IF(AF17="-","-",VLOOKUP($G17,CTBat!$G$10:$AN$89,CG$9,FALSE)-AF17)</f>
        <v>0</v>
      </c>
      <c r="CH17" s="91">
        <f>IF(AG17="-","-",VLOOKUP($G17,CTBat!$G$10:$AN$89,CH$9,FALSE)-AG17)</f>
        <v>0</v>
      </c>
      <c r="CI17" s="91">
        <f>IF(AH17="-","-",VLOOKUP($G17,CTBat!$G$10:$AN$89,CI$9,FALSE)-AH17)</f>
        <v>1</v>
      </c>
      <c r="CJ17" s="91" t="str">
        <f>IF(AI17="-","-",VLOOKUP($G17,CTBat!$G$10:$AN$89,CJ$9,FALSE)-AI17)</f>
        <v>-</v>
      </c>
      <c r="CK17" s="91" t="str">
        <f>IF(AJ17="-","-",VLOOKUP($G17,CTBat!$G$10:$AN$89,CK$9,FALSE)-AJ17)</f>
        <v>-</v>
      </c>
      <c r="CL17" s="91" t="str">
        <f>IF(AK17="-","-",VLOOKUP($G17,CTBat!$G$10:$AN$89,CL$9,FALSE)-AK17)</f>
        <v>-</v>
      </c>
      <c r="CM17" s="91">
        <f>IF(AL17="-","-",VLOOKUP($G17,CTBat!$G$10:$AN$89,CM$9,FALSE)-AL17)</f>
        <v>0</v>
      </c>
      <c r="CN17" s="91">
        <f>IF(AM17="-","-",VLOOKUP($G17,CTBat!$G$10:$AN$89,CN$9,FALSE)-AM17)</f>
        <v>0</v>
      </c>
      <c r="CO17" s="91">
        <f>IF(AN17="-","-",VLOOKUP($G17,CTBat!$G$10:$AN$89,CO$9,FALSE)-AN17)</f>
        <v>0</v>
      </c>
      <c r="CP17" s="91">
        <f t="shared" si="43"/>
        <v>1</v>
      </c>
      <c r="CQ17" s="91">
        <f t="shared" si="44"/>
        <v>1</v>
      </c>
      <c r="CR17" s="91">
        <f t="shared" si="45"/>
        <v>1</v>
      </c>
      <c r="CS17" s="91">
        <f t="shared" si="46"/>
        <v>0</v>
      </c>
      <c r="CT17" s="91">
        <f t="shared" si="47"/>
        <v>3</v>
      </c>
    </row>
    <row r="18" spans="1:98">
      <c r="A18" s="91"/>
      <c r="B18" s="91"/>
      <c r="C18">
        <f t="shared" si="13"/>
        <v>8</v>
      </c>
      <c r="D18">
        <f t="shared" si="14"/>
        <v>8</v>
      </c>
      <c r="E18" t="str">
        <f t="shared" si="15"/>
        <v>K</v>
      </c>
      <c r="F18" t="s">
        <v>97</v>
      </c>
      <c r="G18" t="s">
        <v>238</v>
      </c>
      <c r="H18" t="s">
        <v>386</v>
      </c>
      <c r="I18" t="s">
        <v>215</v>
      </c>
      <c r="J18">
        <v>23</v>
      </c>
      <c r="K18" t="s">
        <v>107</v>
      </c>
      <c r="L18" t="s">
        <v>107</v>
      </c>
      <c r="M18" t="s">
        <v>47</v>
      </c>
      <c r="N18" s="3" t="s">
        <v>47</v>
      </c>
      <c r="O18" t="s">
        <v>231</v>
      </c>
      <c r="P18" s="3" t="s">
        <v>228</v>
      </c>
      <c r="Q18">
        <v>5</v>
      </c>
      <c r="R18">
        <v>7</v>
      </c>
      <c r="S18">
        <v>3</v>
      </c>
      <c r="T18">
        <v>4</v>
      </c>
      <c r="U18" s="3">
        <v>4</v>
      </c>
      <c r="V18">
        <v>6</v>
      </c>
      <c r="W18">
        <v>7</v>
      </c>
      <c r="X18">
        <v>3</v>
      </c>
      <c r="Y18">
        <v>4</v>
      </c>
      <c r="Z18" s="3">
        <v>5</v>
      </c>
      <c r="AA18">
        <v>3</v>
      </c>
      <c r="AB18">
        <v>4</v>
      </c>
      <c r="AC18">
        <v>1</v>
      </c>
      <c r="AD18" t="s">
        <v>41</v>
      </c>
      <c r="AE18">
        <v>5</v>
      </c>
      <c r="AF18" t="s">
        <v>41</v>
      </c>
      <c r="AG18" t="s">
        <v>41</v>
      </c>
      <c r="AH18" t="s">
        <v>41</v>
      </c>
      <c r="AI18" t="s">
        <v>41</v>
      </c>
      <c r="AJ18" t="s">
        <v>41</v>
      </c>
      <c r="AK18" s="3" t="s">
        <v>41</v>
      </c>
      <c r="AL18">
        <v>2</v>
      </c>
      <c r="AM18">
        <v>1</v>
      </c>
      <c r="AN18" s="3">
        <v>1</v>
      </c>
      <c r="AO18" s="85" t="s">
        <v>41</v>
      </c>
      <c r="AP18" s="3">
        <v>0</v>
      </c>
      <c r="AQ18" s="6">
        <f t="shared" si="16"/>
        <v>3.5</v>
      </c>
      <c r="AR18" s="9" t="str">
        <f t="shared" si="17"/>
        <v>Minors</v>
      </c>
      <c r="AS18" s="6">
        <f t="shared" si="18"/>
        <v>4.333333333333333</v>
      </c>
      <c r="AT18" s="6" t="str">
        <f t="shared" si="19"/>
        <v>Bench</v>
      </c>
      <c r="AU18" s="9">
        <f t="shared" si="20"/>
        <v>4.333333333333333</v>
      </c>
      <c r="AV18" s="9" t="str">
        <f t="shared" si="21"/>
        <v>Bench</v>
      </c>
      <c r="AW18" s="53">
        <f t="shared" si="22"/>
        <v>0</v>
      </c>
      <c r="AX18" s="5">
        <f t="shared" si="23"/>
        <v>0</v>
      </c>
      <c r="AY18" s="5">
        <f t="shared" si="24"/>
        <v>0</v>
      </c>
      <c r="AZ18" s="5">
        <f t="shared" si="25"/>
        <v>0</v>
      </c>
      <c r="BA18" s="5">
        <f t="shared" si="26"/>
        <v>0</v>
      </c>
      <c r="BB18" s="5">
        <f t="shared" si="27"/>
        <v>0</v>
      </c>
      <c r="BC18" s="5">
        <f t="shared" si="28"/>
        <v>0</v>
      </c>
      <c r="BD18" s="5">
        <f t="shared" si="29"/>
        <v>1</v>
      </c>
      <c r="BE18" s="3">
        <f t="shared" si="30"/>
        <v>1</v>
      </c>
      <c r="BF18" s="53">
        <f t="shared" si="31"/>
        <v>0</v>
      </c>
      <c r="BG18" s="5">
        <f t="shared" si="32"/>
        <v>0</v>
      </c>
      <c r="BH18" s="5">
        <f t="shared" si="33"/>
        <v>0</v>
      </c>
      <c r="BI18" s="5">
        <f t="shared" si="34"/>
        <v>0</v>
      </c>
      <c r="BJ18" s="5">
        <f t="shared" si="35"/>
        <v>0</v>
      </c>
      <c r="BK18" s="5">
        <f t="shared" si="36"/>
        <v>0</v>
      </c>
      <c r="BL18" s="5">
        <f t="shared" si="37"/>
        <v>0</v>
      </c>
      <c r="BM18" s="5">
        <f t="shared" si="38"/>
        <v>1</v>
      </c>
      <c r="BN18" s="3">
        <f t="shared" si="39"/>
        <v>1</v>
      </c>
      <c r="BO18" s="3">
        <f t="shared" si="40"/>
        <v>0</v>
      </c>
      <c r="BP18" s="7">
        <f t="shared" si="41"/>
        <v>1</v>
      </c>
      <c r="BQ18" t="str">
        <f t="shared" si="42"/>
        <v/>
      </c>
      <c r="BR18" s="91">
        <f>IF(Q18="-","-",VLOOKUP($G18,CTBat!$G$10:$AN$89,BR$9,FALSE)-Q18)</f>
        <v>0</v>
      </c>
      <c r="BS18" s="91">
        <f>IF(R18="-","-",VLOOKUP($G18,CTBat!$G$10:$AN$89,BS$9,FALSE)-R18)</f>
        <v>1</v>
      </c>
      <c r="BT18" s="91">
        <f>IF(S18="-","-",VLOOKUP($G18,CTBat!$G$10:$AN$89,BT$9,FALSE)-S18)</f>
        <v>0</v>
      </c>
      <c r="BU18" s="91">
        <f>IF(T18="-","-",VLOOKUP($G18,CTBat!$G$10:$AN$89,BU$9,FALSE)-T18)</f>
        <v>0</v>
      </c>
      <c r="BV18" s="91">
        <f>IF(U18="-","-",VLOOKUP($G18,CTBat!$G$10:$AN$89,BV$9,FALSE)-U18)</f>
        <v>0</v>
      </c>
      <c r="BW18" s="91">
        <f>IF(V18="-","-",VLOOKUP($G18,CTBat!$G$10:$AN$89,BW$9,FALSE)-V18)</f>
        <v>0</v>
      </c>
      <c r="BX18" s="91">
        <f>IF(W18="-","-",VLOOKUP($G18,CTBat!$G$10:$AN$89,BX$9,FALSE)-W18)</f>
        <v>1</v>
      </c>
      <c r="BY18" s="91">
        <f>IF(X18="-","-",VLOOKUP($G18,CTBat!$G$10:$AN$89,BY$9,FALSE)-X18)</f>
        <v>0</v>
      </c>
      <c r="BZ18" s="91">
        <f>IF(Y18="-","-",VLOOKUP($G18,CTBat!$G$10:$AN$89,BZ$9,FALSE)-Y18)</f>
        <v>0</v>
      </c>
      <c r="CA18" s="91">
        <f>IF(Z18="-","-",VLOOKUP($G18,CTBat!$G$10:$AN$89,CA$9,FALSE)-Z18)</f>
        <v>0</v>
      </c>
      <c r="CB18" s="91">
        <f>IF(AA18="-","-",VLOOKUP($G18,CTBat!$G$10:$AN$89,CB$9,FALSE)-AA18)</f>
        <v>0</v>
      </c>
      <c r="CC18" s="91">
        <f>IF(AB18="-","-",VLOOKUP($G18,CTBat!$G$10:$AN$89,CC$9,FALSE)-AB18)</f>
        <v>0</v>
      </c>
      <c r="CD18" s="91">
        <f>IF(AC18="-","-",VLOOKUP($G18,CTBat!$G$10:$AN$89,CD$9,FALSE)-AC18)</f>
        <v>0</v>
      </c>
      <c r="CE18" s="91" t="str">
        <f>IF(AD18="-","-",VLOOKUP($G18,CTBat!$G$10:$AN$89,CE$9,FALSE)-AD18)</f>
        <v>-</v>
      </c>
      <c r="CF18" s="91">
        <f>IF(AE18="-","-",VLOOKUP($G18,CTBat!$G$10:$AN$89,CF$9,FALSE)-AE18)</f>
        <v>1</v>
      </c>
      <c r="CG18" s="91" t="str">
        <f>IF(AF18="-","-",VLOOKUP($G18,CTBat!$G$10:$AN$89,CG$9,FALSE)-AF18)</f>
        <v>-</v>
      </c>
      <c r="CH18" s="91" t="str">
        <f>IF(AG18="-","-",VLOOKUP($G18,CTBat!$G$10:$AN$89,CH$9,FALSE)-AG18)</f>
        <v>-</v>
      </c>
      <c r="CI18" s="91" t="str">
        <f>IF(AH18="-","-",VLOOKUP($G18,CTBat!$G$10:$AN$89,CI$9,FALSE)-AH18)</f>
        <v>-</v>
      </c>
      <c r="CJ18" s="91" t="str">
        <f>IF(AI18="-","-",VLOOKUP($G18,CTBat!$G$10:$AN$89,CJ$9,FALSE)-AI18)</f>
        <v>-</v>
      </c>
      <c r="CK18" s="91" t="str">
        <f>IF(AJ18="-","-",VLOOKUP($G18,CTBat!$G$10:$AN$89,CK$9,FALSE)-AJ18)</f>
        <v>-</v>
      </c>
      <c r="CL18" s="91" t="str">
        <f>IF(AK18="-","-",VLOOKUP($G18,CTBat!$G$10:$AN$89,CL$9,FALSE)-AK18)</f>
        <v>-</v>
      </c>
      <c r="CM18" s="91">
        <f>IF(AL18="-","-",VLOOKUP($G18,CTBat!$G$10:$AN$89,CM$9,FALSE)-AL18)</f>
        <v>0</v>
      </c>
      <c r="CN18" s="91">
        <f>IF(AM18="-","-",VLOOKUP($G18,CTBat!$G$10:$AN$89,CN$9,FALSE)-AM18)</f>
        <v>0</v>
      </c>
      <c r="CO18" s="91">
        <f>IF(AN18="-","-",VLOOKUP($G18,CTBat!$G$10:$AN$89,CO$9,FALSE)-AN18)</f>
        <v>0</v>
      </c>
      <c r="CP18" s="91">
        <f t="shared" si="43"/>
        <v>1</v>
      </c>
      <c r="CQ18" s="91">
        <f t="shared" si="44"/>
        <v>1</v>
      </c>
      <c r="CR18" s="91">
        <f t="shared" si="45"/>
        <v>1</v>
      </c>
      <c r="CS18" s="91">
        <f t="shared" si="46"/>
        <v>0</v>
      </c>
      <c r="CT18" s="91">
        <f t="shared" si="47"/>
        <v>3</v>
      </c>
    </row>
    <row r="19" spans="1:98">
      <c r="C19" t="str">
        <f t="shared" si="13"/>
        <v>-</v>
      </c>
      <c r="D19" t="str">
        <f t="shared" si="14"/>
        <v>-</v>
      </c>
      <c r="E19" t="str">
        <f t="shared" si="15"/>
        <v>K</v>
      </c>
      <c r="F19" t="s">
        <v>98</v>
      </c>
      <c r="G19" t="s">
        <v>468</v>
      </c>
      <c r="H19" t="s">
        <v>383</v>
      </c>
      <c r="I19" t="s">
        <v>327</v>
      </c>
      <c r="J19">
        <v>18</v>
      </c>
      <c r="K19" t="s">
        <v>109</v>
      </c>
      <c r="L19" t="s">
        <v>107</v>
      </c>
      <c r="M19" t="s">
        <v>47</v>
      </c>
      <c r="N19" s="216" t="s">
        <v>47</v>
      </c>
      <c r="O19" t="s">
        <v>231</v>
      </c>
      <c r="P19" s="216" t="s">
        <v>230</v>
      </c>
      <c r="Q19">
        <v>4</v>
      </c>
      <c r="R19">
        <v>4</v>
      </c>
      <c r="S19">
        <v>1</v>
      </c>
      <c r="T19">
        <v>2</v>
      </c>
      <c r="U19" s="216">
        <v>4</v>
      </c>
      <c r="V19">
        <v>4</v>
      </c>
      <c r="W19">
        <v>4</v>
      </c>
      <c r="X19">
        <v>3</v>
      </c>
      <c r="Y19">
        <v>3</v>
      </c>
      <c r="Z19" s="216">
        <v>4</v>
      </c>
      <c r="AA19">
        <v>4</v>
      </c>
      <c r="AB19">
        <v>2</v>
      </c>
      <c r="AC19">
        <v>1</v>
      </c>
      <c r="AD19" t="s">
        <v>41</v>
      </c>
      <c r="AE19" t="s">
        <v>41</v>
      </c>
      <c r="AF19">
        <v>2</v>
      </c>
      <c r="AG19">
        <v>1</v>
      </c>
      <c r="AH19">
        <v>1</v>
      </c>
      <c r="AI19" t="s">
        <v>41</v>
      </c>
      <c r="AJ19" t="s">
        <v>41</v>
      </c>
      <c r="AK19" s="216" t="s">
        <v>41</v>
      </c>
      <c r="AL19">
        <v>8</v>
      </c>
      <c r="AM19">
        <v>10</v>
      </c>
      <c r="AN19" s="216">
        <v>10</v>
      </c>
      <c r="AO19" s="85" t="s">
        <v>41</v>
      </c>
      <c r="AP19" s="216" t="s">
        <v>45</v>
      </c>
      <c r="AQ19" s="6">
        <f t="shared" si="16"/>
        <v>1.3333333333333335</v>
      </c>
      <c r="AR19" s="9" t="str">
        <f t="shared" si="17"/>
        <v>Minors</v>
      </c>
      <c r="AS19" s="6">
        <f t="shared" si="18"/>
        <v>2.3333333333333335</v>
      </c>
      <c r="AT19" s="6" t="str">
        <f t="shared" si="19"/>
        <v>Minors</v>
      </c>
      <c r="AU19" s="9">
        <f t="shared" si="20"/>
        <v>2.3333333333333335</v>
      </c>
      <c r="AV19" s="9" t="str">
        <f t="shared" si="21"/>
        <v>Minors</v>
      </c>
      <c r="AW19" s="53">
        <f t="shared" si="22"/>
        <v>0</v>
      </c>
      <c r="AX19" s="215">
        <f t="shared" si="23"/>
        <v>0</v>
      </c>
      <c r="AY19" s="215">
        <f t="shared" si="24"/>
        <v>0</v>
      </c>
      <c r="AZ19" s="215">
        <f t="shared" si="25"/>
        <v>0</v>
      </c>
      <c r="BA19" s="215">
        <f t="shared" si="26"/>
        <v>0</v>
      </c>
      <c r="BB19" s="215">
        <f t="shared" si="27"/>
        <v>0</v>
      </c>
      <c r="BC19" s="215">
        <f t="shared" si="28"/>
        <v>0</v>
      </c>
      <c r="BD19" s="215">
        <f t="shared" si="29"/>
        <v>0</v>
      </c>
      <c r="BE19" s="216">
        <f t="shared" si="30"/>
        <v>0</v>
      </c>
      <c r="BF19" s="53">
        <f t="shared" si="31"/>
        <v>0</v>
      </c>
      <c r="BG19" s="215">
        <f t="shared" si="32"/>
        <v>0</v>
      </c>
      <c r="BH19" s="215">
        <f t="shared" si="33"/>
        <v>0</v>
      </c>
      <c r="BI19" s="215">
        <f t="shared" si="34"/>
        <v>0</v>
      </c>
      <c r="BJ19" s="215">
        <f t="shared" si="35"/>
        <v>0</v>
      </c>
      <c r="BK19" s="215">
        <f t="shared" si="36"/>
        <v>0</v>
      </c>
      <c r="BL19" s="215">
        <f t="shared" si="37"/>
        <v>0</v>
      </c>
      <c r="BM19" s="215">
        <f t="shared" si="38"/>
        <v>0</v>
      </c>
      <c r="BN19" s="216">
        <f t="shared" si="39"/>
        <v>0</v>
      </c>
      <c r="BO19" s="216">
        <f t="shared" si="40"/>
        <v>5</v>
      </c>
      <c r="BP19" s="7">
        <f t="shared" si="41"/>
        <v>0</v>
      </c>
      <c r="BQ19" t="str">
        <f t="shared" si="42"/>
        <v/>
      </c>
      <c r="BR19" s="91">
        <f>IF(Q19="-","-",VLOOKUP($G19,CTBat!$G$10:$AN$89,BR$9,FALSE)-Q19)</f>
        <v>1</v>
      </c>
      <c r="BS19" s="91">
        <f>IF(R19="-","-",VLOOKUP($G19,CTBat!$G$10:$AN$89,BS$9,FALSE)-R19)</f>
        <v>0</v>
      </c>
      <c r="BT19" s="91">
        <f>IF(S19="-","-",VLOOKUP($G19,CTBat!$G$10:$AN$89,BT$9,FALSE)-S19)</f>
        <v>1</v>
      </c>
      <c r="BU19" s="91">
        <f>IF(T19="-","-",VLOOKUP($G19,CTBat!$G$10:$AN$89,BU$9,FALSE)-T19)</f>
        <v>0</v>
      </c>
      <c r="BV19" s="91">
        <f>IF(U19="-","-",VLOOKUP($G19,CTBat!$G$10:$AN$89,BV$9,FALSE)-U19)</f>
        <v>0</v>
      </c>
      <c r="BW19" s="91">
        <f>IF(V19="-","-",VLOOKUP($G19,CTBat!$G$10:$AN$89,BW$9,FALSE)-V19)</f>
        <v>1</v>
      </c>
      <c r="BX19" s="91">
        <f>IF(W19="-","-",VLOOKUP($G19,CTBat!$G$10:$AN$89,BX$9,FALSE)-W19)</f>
        <v>0</v>
      </c>
      <c r="BY19" s="91">
        <f>IF(X19="-","-",VLOOKUP($G19,CTBat!$G$10:$AN$89,BY$9,FALSE)-X19)</f>
        <v>0</v>
      </c>
      <c r="BZ19" s="91">
        <f>IF(Y19="-","-",VLOOKUP($G19,CTBat!$G$10:$AN$89,BZ$9,FALSE)-Y19)</f>
        <v>0</v>
      </c>
      <c r="CA19" s="91">
        <f>IF(Z19="-","-",VLOOKUP($G19,CTBat!$G$10:$AN$89,CA$9,FALSE)-Z19)</f>
        <v>0</v>
      </c>
      <c r="CB19" s="91">
        <f>IF(AA19="-","-",VLOOKUP($G19,CTBat!$G$10:$AN$89,CB$9,FALSE)-AA19)</f>
        <v>0</v>
      </c>
      <c r="CC19" s="91">
        <f>IF(AB19="-","-",VLOOKUP($G19,CTBat!$G$10:$AN$89,CC$9,FALSE)-AB19)</f>
        <v>0</v>
      </c>
      <c r="CD19" s="91">
        <f>IF(AC19="-","-",VLOOKUP($G19,CTBat!$G$10:$AN$89,CD$9,FALSE)-AC19)</f>
        <v>0</v>
      </c>
      <c r="CE19" s="91" t="str">
        <f>IF(AD19="-","-",VLOOKUP($G19,CTBat!$G$10:$AN$89,CE$9,FALSE)-AD19)</f>
        <v>-</v>
      </c>
      <c r="CF19" s="91" t="str">
        <f>IF(AE19="-","-",VLOOKUP($G19,CTBat!$G$10:$AN$89,CF$9,FALSE)-AE19)</f>
        <v>-</v>
      </c>
      <c r="CG19" s="91">
        <f>IF(AF19="-","-",VLOOKUP($G19,CTBat!$G$10:$AN$89,CG$9,FALSE)-AF19)</f>
        <v>0</v>
      </c>
      <c r="CH19" s="91">
        <f>IF(AG19="-","-",VLOOKUP($G19,CTBat!$G$10:$AN$89,CH$9,FALSE)-AG19)</f>
        <v>0</v>
      </c>
      <c r="CI19" s="91">
        <f>IF(AH19="-","-",VLOOKUP($G19,CTBat!$G$10:$AN$89,CI$9,FALSE)-AH19)</f>
        <v>0</v>
      </c>
      <c r="CJ19" s="91" t="str">
        <f>IF(AI19="-","-",VLOOKUP($G19,CTBat!$G$10:$AN$89,CJ$9,FALSE)-AI19)</f>
        <v>-</v>
      </c>
      <c r="CK19" s="91" t="str">
        <f>IF(AJ19="-","-",VLOOKUP($G19,CTBat!$G$10:$AN$89,CK$9,FALSE)-AJ19)</f>
        <v>-</v>
      </c>
      <c r="CL19" s="91" t="str">
        <f>IF(AK19="-","-",VLOOKUP($G19,CTBat!$G$10:$AN$89,CL$9,FALSE)-AK19)</f>
        <v>-</v>
      </c>
      <c r="CM19" s="91">
        <f>IF(AL19="-","-",VLOOKUP($G19,CTBat!$G$10:$AN$89,CM$9,FALSE)-AL19)</f>
        <v>0</v>
      </c>
      <c r="CN19" s="91">
        <f>IF(AM19="-","-",VLOOKUP($G19,CTBat!$G$10:$AN$89,CN$9,FALSE)-AM19)</f>
        <v>0</v>
      </c>
      <c r="CO19" s="91">
        <f>IF(AN19="-","-",VLOOKUP($G19,CTBat!$G$10:$AN$89,CO$9,FALSE)-AN19)</f>
        <v>0</v>
      </c>
      <c r="CP19" s="91">
        <f t="shared" si="43"/>
        <v>2</v>
      </c>
      <c r="CQ19" s="91">
        <f t="shared" si="44"/>
        <v>1</v>
      </c>
      <c r="CR19" s="91">
        <f t="shared" si="45"/>
        <v>0</v>
      </c>
      <c r="CS19" s="91">
        <f t="shared" si="46"/>
        <v>0</v>
      </c>
      <c r="CT19" s="91">
        <f t="shared" si="47"/>
        <v>3</v>
      </c>
    </row>
    <row r="20" spans="1:98">
      <c r="C20">
        <f t="shared" si="13"/>
        <v>2</v>
      </c>
      <c r="D20">
        <f t="shared" si="14"/>
        <v>7</v>
      </c>
      <c r="E20" t="str">
        <f t="shared" si="15"/>
        <v>K</v>
      </c>
      <c r="F20" t="s">
        <v>102</v>
      </c>
      <c r="G20" t="s">
        <v>248</v>
      </c>
      <c r="H20" t="s">
        <v>25</v>
      </c>
      <c r="I20" t="s">
        <v>212</v>
      </c>
      <c r="J20">
        <v>26</v>
      </c>
      <c r="K20" t="s">
        <v>106</v>
      </c>
      <c r="L20" t="s">
        <v>106</v>
      </c>
      <c r="M20" t="s">
        <v>47</v>
      </c>
      <c r="N20" s="3" t="s">
        <v>47</v>
      </c>
      <c r="O20" t="s">
        <v>230</v>
      </c>
      <c r="P20" s="3" t="s">
        <v>228</v>
      </c>
      <c r="Q20">
        <v>5</v>
      </c>
      <c r="R20">
        <v>5</v>
      </c>
      <c r="S20">
        <v>5</v>
      </c>
      <c r="T20">
        <v>7</v>
      </c>
      <c r="U20" s="3">
        <v>5</v>
      </c>
      <c r="V20">
        <v>6</v>
      </c>
      <c r="W20">
        <v>5</v>
      </c>
      <c r="X20">
        <v>6</v>
      </c>
      <c r="Y20">
        <v>7</v>
      </c>
      <c r="Z20" s="3">
        <v>6</v>
      </c>
      <c r="AA20">
        <v>1</v>
      </c>
      <c r="AB20">
        <v>6</v>
      </c>
      <c r="AC20">
        <v>1</v>
      </c>
      <c r="AD20" t="s">
        <v>41</v>
      </c>
      <c r="AE20" t="s">
        <v>41</v>
      </c>
      <c r="AF20" t="s">
        <v>41</v>
      </c>
      <c r="AG20" t="s">
        <v>41</v>
      </c>
      <c r="AH20" t="s">
        <v>41</v>
      </c>
      <c r="AI20">
        <v>8</v>
      </c>
      <c r="AJ20">
        <v>4</v>
      </c>
      <c r="AK20" s="3">
        <v>5</v>
      </c>
      <c r="AL20">
        <v>6</v>
      </c>
      <c r="AM20">
        <v>8</v>
      </c>
      <c r="AN20" s="3">
        <v>9</v>
      </c>
      <c r="AO20" s="85" t="s">
        <v>41</v>
      </c>
      <c r="AP20" s="3">
        <v>0</v>
      </c>
      <c r="AQ20" s="6">
        <f t="shared" si="16"/>
        <v>5.166666666666667</v>
      </c>
      <c r="AR20" s="9" t="str">
        <f t="shared" si="17"/>
        <v>Reg</v>
      </c>
      <c r="AS20" s="6">
        <f t="shared" si="18"/>
        <v>6.833333333333333</v>
      </c>
      <c r="AT20" s="6" t="str">
        <f t="shared" si="19"/>
        <v>GoodReg</v>
      </c>
      <c r="AU20" s="9">
        <f t="shared" si="20"/>
        <v>5.166666666666667</v>
      </c>
      <c r="AV20" s="9" t="str">
        <f t="shared" si="21"/>
        <v>Reg</v>
      </c>
      <c r="AW20" s="53">
        <f t="shared" si="22"/>
        <v>0</v>
      </c>
      <c r="AX20" s="5">
        <f t="shared" si="23"/>
        <v>0</v>
      </c>
      <c r="AY20" s="5">
        <f t="shared" si="24"/>
        <v>0</v>
      </c>
      <c r="AZ20" s="5">
        <f t="shared" si="25"/>
        <v>0</v>
      </c>
      <c r="BA20" s="5">
        <f t="shared" si="26"/>
        <v>0</v>
      </c>
      <c r="BB20" s="5">
        <f t="shared" si="27"/>
        <v>0</v>
      </c>
      <c r="BC20" s="5">
        <f t="shared" si="28"/>
        <v>1</v>
      </c>
      <c r="BD20" s="5">
        <f t="shared" si="29"/>
        <v>1</v>
      </c>
      <c r="BE20" s="3">
        <f t="shared" si="30"/>
        <v>1</v>
      </c>
      <c r="BF20" s="53">
        <f t="shared" si="31"/>
        <v>0</v>
      </c>
      <c r="BG20" s="5">
        <f t="shared" si="32"/>
        <v>1</v>
      </c>
      <c r="BH20" s="5">
        <f t="shared" si="33"/>
        <v>0</v>
      </c>
      <c r="BI20" s="5">
        <f t="shared" si="34"/>
        <v>0</v>
      </c>
      <c r="BJ20" s="5">
        <f t="shared" si="35"/>
        <v>0</v>
      </c>
      <c r="BK20" s="5">
        <f t="shared" si="36"/>
        <v>0</v>
      </c>
      <c r="BL20" s="5">
        <f t="shared" si="37"/>
        <v>1</v>
      </c>
      <c r="BM20" s="5">
        <f t="shared" si="38"/>
        <v>1</v>
      </c>
      <c r="BN20" s="3">
        <f t="shared" si="39"/>
        <v>1</v>
      </c>
      <c r="BO20" s="3">
        <f t="shared" si="40"/>
        <v>3</v>
      </c>
      <c r="BP20" s="7">
        <f t="shared" si="41"/>
        <v>2</v>
      </c>
      <c r="BQ20" t="str">
        <f t="shared" si="42"/>
        <v/>
      </c>
      <c r="BR20" s="91">
        <f>IF(Q20="-","-",VLOOKUP($G20,CTBat!$G$10:$AN$89,BR$9,FALSE)-Q20)</f>
        <v>1</v>
      </c>
      <c r="BS20" s="91">
        <f>IF(R20="-","-",VLOOKUP($G20,CTBat!$G$10:$AN$89,BS$9,FALSE)-R20)</f>
        <v>0</v>
      </c>
      <c r="BT20" s="91">
        <f>IF(S20="-","-",VLOOKUP($G20,CTBat!$G$10:$AN$89,BT$9,FALSE)-S20)</f>
        <v>1</v>
      </c>
      <c r="BU20" s="91">
        <f>IF(T20="-","-",VLOOKUP($G20,CTBat!$G$10:$AN$89,BU$9,FALSE)-T20)</f>
        <v>0</v>
      </c>
      <c r="BV20" s="91">
        <f>IF(U20="-","-",VLOOKUP($G20,CTBat!$G$10:$AN$89,BV$9,FALSE)-U20)</f>
        <v>0</v>
      </c>
      <c r="BW20" s="91">
        <f>IF(V20="-","-",VLOOKUP($G20,CTBat!$G$10:$AN$89,BW$9,FALSE)-V20)</f>
        <v>0</v>
      </c>
      <c r="BX20" s="91">
        <f>IF(W20="-","-",VLOOKUP($G20,CTBat!$G$10:$AN$89,BX$9,FALSE)-W20)</f>
        <v>0</v>
      </c>
      <c r="BY20" s="91">
        <f>IF(X20="-","-",VLOOKUP($G20,CTBat!$G$10:$AN$89,BY$9,FALSE)-X20)</f>
        <v>0</v>
      </c>
      <c r="BZ20" s="91">
        <f>IF(Y20="-","-",VLOOKUP($G20,CTBat!$G$10:$AN$89,BZ$9,FALSE)-Y20)</f>
        <v>0</v>
      </c>
      <c r="CA20" s="91">
        <f>IF(Z20="-","-",VLOOKUP($G20,CTBat!$G$10:$AN$89,CA$9,FALSE)-Z20)</f>
        <v>0</v>
      </c>
      <c r="CB20" s="91">
        <f>IF(AA20="-","-",VLOOKUP($G20,CTBat!$G$10:$AN$89,CB$9,FALSE)-AA20)</f>
        <v>0</v>
      </c>
      <c r="CC20" s="91">
        <f>IF(AB20="-","-",VLOOKUP($G20,CTBat!$G$10:$AN$89,CC$9,FALSE)-AB20)</f>
        <v>0</v>
      </c>
      <c r="CD20" s="91">
        <f>IF(AC20="-","-",VLOOKUP($G20,CTBat!$G$10:$AN$89,CD$9,FALSE)-AC20)</f>
        <v>0</v>
      </c>
      <c r="CE20" s="91" t="str">
        <f>IF(AD20="-","-",VLOOKUP($G20,CTBat!$G$10:$AN$89,CE$9,FALSE)-AD20)</f>
        <v>-</v>
      </c>
      <c r="CF20" s="91" t="str">
        <f>IF(AE20="-","-",VLOOKUP($G20,CTBat!$G$10:$AN$89,CF$9,FALSE)-AE20)</f>
        <v>-</v>
      </c>
      <c r="CG20" s="91" t="str">
        <f>IF(AF20="-","-",VLOOKUP($G20,CTBat!$G$10:$AN$89,CG$9,FALSE)-AF20)</f>
        <v>-</v>
      </c>
      <c r="CH20" s="91" t="str">
        <f>IF(AG20="-","-",VLOOKUP($G20,CTBat!$G$10:$AN$89,CH$9,FALSE)-AG20)</f>
        <v>-</v>
      </c>
      <c r="CI20" s="91" t="str">
        <f>IF(AH20="-","-",VLOOKUP($G20,CTBat!$G$10:$AN$89,CI$9,FALSE)-AH20)</f>
        <v>-</v>
      </c>
      <c r="CJ20" s="91">
        <f>IF(AI20="-","-",VLOOKUP($G20,CTBat!$G$10:$AN$89,CJ$9,FALSE)-AI20)</f>
        <v>0</v>
      </c>
      <c r="CK20" s="91">
        <f>IF(AJ20="-","-",VLOOKUP($G20,CTBat!$G$10:$AN$89,CK$9,FALSE)-AJ20)</f>
        <v>0</v>
      </c>
      <c r="CL20" s="91">
        <f>IF(AK20="-","-",VLOOKUP($G20,CTBat!$G$10:$AN$89,CL$9,FALSE)-AK20)</f>
        <v>0</v>
      </c>
      <c r="CM20" s="91">
        <f>IF(AL20="-","-",VLOOKUP($G20,CTBat!$G$10:$AN$89,CM$9,FALSE)-AL20)</f>
        <v>0</v>
      </c>
      <c r="CN20" s="91">
        <f>IF(AM20="-","-",VLOOKUP($G20,CTBat!$G$10:$AN$89,CN$9,FALSE)-AM20)</f>
        <v>0</v>
      </c>
      <c r="CO20" s="91">
        <f>IF(AN20="-","-",VLOOKUP($G20,CTBat!$G$10:$AN$89,CO$9,FALSE)-AN20)</f>
        <v>0</v>
      </c>
      <c r="CP20" s="91">
        <f t="shared" si="43"/>
        <v>2</v>
      </c>
      <c r="CQ20" s="91">
        <f t="shared" si="44"/>
        <v>0</v>
      </c>
      <c r="CR20" s="91">
        <f t="shared" si="45"/>
        <v>0</v>
      </c>
      <c r="CS20" s="91">
        <f t="shared" si="46"/>
        <v>0</v>
      </c>
      <c r="CT20" s="91">
        <f t="shared" si="47"/>
        <v>2</v>
      </c>
    </row>
    <row r="21" spans="1:98">
      <c r="C21">
        <f t="shared" si="13"/>
        <v>2</v>
      </c>
      <c r="D21">
        <f t="shared" si="14"/>
        <v>6</v>
      </c>
      <c r="E21" t="str">
        <f t="shared" si="15"/>
        <v>K</v>
      </c>
      <c r="F21" t="s">
        <v>97</v>
      </c>
      <c r="G21" t="s">
        <v>398</v>
      </c>
      <c r="H21" t="s">
        <v>385</v>
      </c>
      <c r="I21" t="s">
        <v>214</v>
      </c>
      <c r="J21">
        <v>21</v>
      </c>
      <c r="K21" t="s">
        <v>106</v>
      </c>
      <c r="L21" t="s">
        <v>106</v>
      </c>
      <c r="M21" t="s">
        <v>47</v>
      </c>
      <c r="N21" s="214" t="s">
        <v>47</v>
      </c>
      <c r="O21" t="s">
        <v>231</v>
      </c>
      <c r="P21" s="214" t="s">
        <v>231</v>
      </c>
      <c r="Q21">
        <v>7</v>
      </c>
      <c r="R21">
        <v>6</v>
      </c>
      <c r="S21">
        <v>2</v>
      </c>
      <c r="T21">
        <v>4</v>
      </c>
      <c r="U21" s="214">
        <v>5</v>
      </c>
      <c r="V21">
        <v>9</v>
      </c>
      <c r="W21">
        <v>7</v>
      </c>
      <c r="X21">
        <v>4</v>
      </c>
      <c r="Y21">
        <v>5</v>
      </c>
      <c r="Z21" s="214">
        <v>7</v>
      </c>
      <c r="AA21">
        <v>3</v>
      </c>
      <c r="AB21">
        <v>3</v>
      </c>
      <c r="AC21">
        <v>1</v>
      </c>
      <c r="AD21" t="s">
        <v>41</v>
      </c>
      <c r="AE21">
        <v>1</v>
      </c>
      <c r="AF21" t="s">
        <v>41</v>
      </c>
      <c r="AG21" t="s">
        <v>41</v>
      </c>
      <c r="AH21" t="s">
        <v>41</v>
      </c>
      <c r="AI21" t="s">
        <v>41</v>
      </c>
      <c r="AJ21" t="s">
        <v>41</v>
      </c>
      <c r="AK21" s="214" t="s">
        <v>41</v>
      </c>
      <c r="AL21">
        <v>3</v>
      </c>
      <c r="AM21">
        <v>3</v>
      </c>
      <c r="AN21" s="214">
        <v>2</v>
      </c>
      <c r="AO21" t="s">
        <v>41</v>
      </c>
      <c r="AP21" s="214">
        <v>0</v>
      </c>
      <c r="AQ21" s="6">
        <f t="shared" si="16"/>
        <v>4.333333333333333</v>
      </c>
      <c r="AR21" s="9" t="str">
        <f t="shared" si="17"/>
        <v>Bench</v>
      </c>
      <c r="AS21" s="6">
        <f t="shared" si="18"/>
        <v>6.5</v>
      </c>
      <c r="AT21" s="6" t="str">
        <f t="shared" si="19"/>
        <v>Reg</v>
      </c>
      <c r="AU21" s="9">
        <f t="shared" si="20"/>
        <v>6.5</v>
      </c>
      <c r="AV21" s="9" t="str">
        <f t="shared" si="21"/>
        <v>Reg</v>
      </c>
      <c r="AW21" s="53">
        <f t="shared" si="22"/>
        <v>0</v>
      </c>
      <c r="AX21" s="213">
        <f t="shared" si="23"/>
        <v>0</v>
      </c>
      <c r="AY21" s="213">
        <f t="shared" si="24"/>
        <v>0</v>
      </c>
      <c r="AZ21" s="213">
        <f t="shared" si="25"/>
        <v>0</v>
      </c>
      <c r="BA21" s="213">
        <f t="shared" si="26"/>
        <v>0</v>
      </c>
      <c r="BB21" s="213">
        <f t="shared" si="27"/>
        <v>1</v>
      </c>
      <c r="BC21" s="213">
        <f t="shared" si="28"/>
        <v>1</v>
      </c>
      <c r="BD21" s="213">
        <f t="shared" si="29"/>
        <v>1</v>
      </c>
      <c r="BE21" s="214">
        <f t="shared" si="30"/>
        <v>1</v>
      </c>
      <c r="BF21" s="53">
        <f t="shared" si="31"/>
        <v>0</v>
      </c>
      <c r="BG21" s="213">
        <f t="shared" si="32"/>
        <v>1</v>
      </c>
      <c r="BH21" s="213">
        <f t="shared" si="33"/>
        <v>0</v>
      </c>
      <c r="BI21" s="213">
        <f t="shared" si="34"/>
        <v>0</v>
      </c>
      <c r="BJ21" s="213">
        <f t="shared" si="35"/>
        <v>0</v>
      </c>
      <c r="BK21" s="213">
        <f t="shared" si="36"/>
        <v>1</v>
      </c>
      <c r="BL21" s="213">
        <f t="shared" si="37"/>
        <v>1</v>
      </c>
      <c r="BM21" s="213">
        <f t="shared" si="38"/>
        <v>1</v>
      </c>
      <c r="BN21" s="214">
        <f t="shared" si="39"/>
        <v>1</v>
      </c>
      <c r="BO21" s="214">
        <f t="shared" si="40"/>
        <v>0</v>
      </c>
      <c r="BP21" s="7">
        <f t="shared" si="41"/>
        <v>0</v>
      </c>
      <c r="BQ21" t="str">
        <f t="shared" si="42"/>
        <v/>
      </c>
      <c r="BR21" s="91">
        <f>IF(Q21="-","-",VLOOKUP($G21,CTBat!$G$10:$AN$89,BR$9,FALSE)-Q21)</f>
        <v>0</v>
      </c>
      <c r="BS21" s="91">
        <f>IF(R21="-","-",VLOOKUP($G21,CTBat!$G$10:$AN$89,BS$9,FALSE)-R21)</f>
        <v>1</v>
      </c>
      <c r="BT21" s="91">
        <f>IF(S21="-","-",VLOOKUP($G21,CTBat!$G$10:$AN$89,BT$9,FALSE)-S21)</f>
        <v>0</v>
      </c>
      <c r="BU21" s="91">
        <f>IF(T21="-","-",VLOOKUP($G21,CTBat!$G$10:$AN$89,BU$9,FALSE)-T21)</f>
        <v>0</v>
      </c>
      <c r="BV21" s="91">
        <f>IF(U21="-","-",VLOOKUP($G21,CTBat!$G$10:$AN$89,BV$9,FALSE)-U21)</f>
        <v>0</v>
      </c>
      <c r="BW21" s="91">
        <f>IF(V21="-","-",VLOOKUP($G21,CTBat!$G$10:$AN$89,BW$9,FALSE)-V21)</f>
        <v>0</v>
      </c>
      <c r="BX21" s="91">
        <f>IF(W21="-","-",VLOOKUP($G21,CTBat!$G$10:$AN$89,BX$9,FALSE)-W21)</f>
        <v>0</v>
      </c>
      <c r="BY21" s="91">
        <f>IF(X21="-","-",VLOOKUP($G21,CTBat!$G$10:$AN$89,BY$9,FALSE)-X21)</f>
        <v>0</v>
      </c>
      <c r="BZ21" s="91">
        <f>IF(Y21="-","-",VLOOKUP($G21,CTBat!$G$10:$AN$89,BZ$9,FALSE)-Y21)</f>
        <v>0</v>
      </c>
      <c r="CA21" s="91">
        <f>IF(Z21="-","-",VLOOKUP($G21,CTBat!$G$10:$AN$89,CA$9,FALSE)-Z21)</f>
        <v>0</v>
      </c>
      <c r="CB21" s="91">
        <f>IF(AA21="-","-",VLOOKUP($G21,CTBat!$G$10:$AN$89,CB$9,FALSE)-AA21)</f>
        <v>0</v>
      </c>
      <c r="CC21" s="91">
        <f>IF(AB21="-","-",VLOOKUP($G21,CTBat!$G$10:$AN$89,CC$9,FALSE)-AB21)</f>
        <v>0</v>
      </c>
      <c r="CD21" s="91">
        <f>IF(AC21="-","-",VLOOKUP($G21,CTBat!$G$10:$AN$89,CD$9,FALSE)-AC21)</f>
        <v>0</v>
      </c>
      <c r="CE21" s="91" t="str">
        <f>IF(AD21="-","-",VLOOKUP($G21,CTBat!$G$10:$AN$89,CE$9,FALSE)-AD21)</f>
        <v>-</v>
      </c>
      <c r="CF21" s="91">
        <f>IF(AE21="-","-",VLOOKUP($G21,CTBat!$G$10:$AN$89,CF$9,FALSE)-AE21)</f>
        <v>1</v>
      </c>
      <c r="CG21" s="91" t="str">
        <f>IF(AF21="-","-",VLOOKUP($G21,CTBat!$G$10:$AN$89,CG$9,FALSE)-AF21)</f>
        <v>-</v>
      </c>
      <c r="CH21" s="91" t="str">
        <f>IF(AG21="-","-",VLOOKUP($G21,CTBat!$G$10:$AN$89,CH$9,FALSE)-AG21)</f>
        <v>-</v>
      </c>
      <c r="CI21" s="91" t="str">
        <f>IF(AH21="-","-",VLOOKUP($G21,CTBat!$G$10:$AN$89,CI$9,FALSE)-AH21)</f>
        <v>-</v>
      </c>
      <c r="CJ21" s="91" t="str">
        <f>IF(AI21="-","-",VLOOKUP($G21,CTBat!$G$10:$AN$89,CJ$9,FALSE)-AI21)</f>
        <v>-</v>
      </c>
      <c r="CK21" s="91" t="str">
        <f>IF(AJ21="-","-",VLOOKUP($G21,CTBat!$G$10:$AN$89,CK$9,FALSE)-AJ21)</f>
        <v>-</v>
      </c>
      <c r="CL21" s="91" t="str">
        <f>IF(AK21="-","-",VLOOKUP($G21,CTBat!$G$10:$AN$89,CL$9,FALSE)-AK21)</f>
        <v>-</v>
      </c>
      <c r="CM21" s="91">
        <f>IF(AL21="-","-",VLOOKUP($G21,CTBat!$G$10:$AN$89,CM$9,FALSE)-AL21)</f>
        <v>0</v>
      </c>
      <c r="CN21" s="91">
        <f>IF(AM21="-","-",VLOOKUP($G21,CTBat!$G$10:$AN$89,CN$9,FALSE)-AM21)</f>
        <v>0</v>
      </c>
      <c r="CO21" s="91">
        <f>IF(AN21="-","-",VLOOKUP($G21,CTBat!$G$10:$AN$89,CO$9,FALSE)-AN21)</f>
        <v>0</v>
      </c>
      <c r="CP21" s="91">
        <f t="shared" si="43"/>
        <v>1</v>
      </c>
      <c r="CQ21" s="91">
        <f t="shared" si="44"/>
        <v>0</v>
      </c>
      <c r="CR21" s="91">
        <f t="shared" si="45"/>
        <v>1</v>
      </c>
      <c r="CS21" s="91">
        <f t="shared" si="46"/>
        <v>0</v>
      </c>
      <c r="CT21" s="91">
        <f t="shared" si="47"/>
        <v>2</v>
      </c>
    </row>
    <row r="22" spans="1:98">
      <c r="C22">
        <f t="shared" si="13"/>
        <v>7</v>
      </c>
      <c r="D22" t="str">
        <f t="shared" si="14"/>
        <v>-</v>
      </c>
      <c r="E22" t="str">
        <f t="shared" si="15"/>
        <v>K</v>
      </c>
      <c r="F22" t="s">
        <v>101</v>
      </c>
      <c r="G22" t="s">
        <v>499</v>
      </c>
      <c r="H22" t="s">
        <v>383</v>
      </c>
      <c r="I22" t="s">
        <v>327</v>
      </c>
      <c r="J22">
        <v>22</v>
      </c>
      <c r="K22" t="s">
        <v>107</v>
      </c>
      <c r="L22" t="s">
        <v>107</v>
      </c>
      <c r="M22" t="s">
        <v>47</v>
      </c>
      <c r="N22" s="3" t="s">
        <v>47</v>
      </c>
      <c r="O22" t="s">
        <v>230</v>
      </c>
      <c r="P22" s="3" t="s">
        <v>228</v>
      </c>
      <c r="Q22">
        <v>4</v>
      </c>
      <c r="R22">
        <v>3</v>
      </c>
      <c r="S22">
        <v>4</v>
      </c>
      <c r="T22">
        <v>4</v>
      </c>
      <c r="U22" s="3">
        <v>2</v>
      </c>
      <c r="V22">
        <v>5</v>
      </c>
      <c r="W22">
        <v>5</v>
      </c>
      <c r="X22">
        <v>8</v>
      </c>
      <c r="Y22">
        <v>6</v>
      </c>
      <c r="Z22" s="3">
        <v>4</v>
      </c>
      <c r="AA22">
        <v>1</v>
      </c>
      <c r="AB22">
        <v>5</v>
      </c>
      <c r="AC22">
        <v>1</v>
      </c>
      <c r="AD22" t="s">
        <v>41</v>
      </c>
      <c r="AE22" t="s">
        <v>41</v>
      </c>
      <c r="AF22" t="s">
        <v>41</v>
      </c>
      <c r="AG22" t="s">
        <v>41</v>
      </c>
      <c r="AH22" t="s">
        <v>41</v>
      </c>
      <c r="AI22">
        <v>8</v>
      </c>
      <c r="AJ22" t="s">
        <v>41</v>
      </c>
      <c r="AK22" s="3">
        <v>3</v>
      </c>
      <c r="AL22">
        <v>5</v>
      </c>
      <c r="AM22">
        <v>8</v>
      </c>
      <c r="AN22" s="3">
        <v>10</v>
      </c>
      <c r="AO22" s="85" t="s">
        <v>41</v>
      </c>
      <c r="AP22" s="3">
        <v>0</v>
      </c>
      <c r="AQ22" s="6">
        <f t="shared" si="16"/>
        <v>3</v>
      </c>
      <c r="AR22" s="9" t="str">
        <f t="shared" si="17"/>
        <v>Minors</v>
      </c>
      <c r="AS22" s="6">
        <f t="shared" si="18"/>
        <v>6.083333333333333</v>
      </c>
      <c r="AT22" s="6" t="str">
        <f t="shared" si="19"/>
        <v>Reg</v>
      </c>
      <c r="AU22" s="9">
        <f t="shared" si="20"/>
        <v>6.083333333333333</v>
      </c>
      <c r="AV22" s="9" t="str">
        <f t="shared" si="21"/>
        <v>Reg</v>
      </c>
      <c r="AW22" s="53">
        <f t="shared" si="22"/>
        <v>0</v>
      </c>
      <c r="AX22" s="5">
        <f t="shared" si="23"/>
        <v>0</v>
      </c>
      <c r="AY22" s="5">
        <f t="shared" si="24"/>
        <v>0</v>
      </c>
      <c r="AZ22" s="5">
        <f t="shared" si="25"/>
        <v>0</v>
      </c>
      <c r="BA22" s="5">
        <f t="shared" si="26"/>
        <v>0</v>
      </c>
      <c r="BB22" s="5">
        <f t="shared" si="27"/>
        <v>0</v>
      </c>
      <c r="BC22" s="5">
        <f t="shared" si="28"/>
        <v>0</v>
      </c>
      <c r="BD22" s="5">
        <f t="shared" si="29"/>
        <v>0</v>
      </c>
      <c r="BE22" s="3">
        <f t="shared" si="30"/>
        <v>0</v>
      </c>
      <c r="BF22" s="53">
        <f t="shared" si="31"/>
        <v>0</v>
      </c>
      <c r="BG22" s="5">
        <f t="shared" si="32"/>
        <v>0</v>
      </c>
      <c r="BH22" s="5">
        <f t="shared" si="33"/>
        <v>0</v>
      </c>
      <c r="BI22" s="5">
        <f t="shared" si="34"/>
        <v>0</v>
      </c>
      <c r="BJ22" s="5">
        <f t="shared" si="35"/>
        <v>0</v>
      </c>
      <c r="BK22" s="5">
        <f t="shared" si="36"/>
        <v>0</v>
      </c>
      <c r="BL22" s="5">
        <f t="shared" si="37"/>
        <v>1</v>
      </c>
      <c r="BM22" s="5">
        <f t="shared" si="38"/>
        <v>1</v>
      </c>
      <c r="BN22" s="3">
        <f t="shared" si="39"/>
        <v>1</v>
      </c>
      <c r="BO22" s="3">
        <f t="shared" si="40"/>
        <v>3</v>
      </c>
      <c r="BP22" s="7">
        <f t="shared" si="41"/>
        <v>2</v>
      </c>
      <c r="BQ22" t="str">
        <f t="shared" si="42"/>
        <v/>
      </c>
      <c r="BR22" s="91">
        <f>IF(Q22="-","-",VLOOKUP($G22,CTBat!$G$10:$AN$89,BR$9,FALSE)-Q22)</f>
        <v>0</v>
      </c>
      <c r="BS22" s="91">
        <f>IF(R22="-","-",VLOOKUP($G22,CTBat!$G$10:$AN$89,BS$9,FALSE)-R22)</f>
        <v>0</v>
      </c>
      <c r="BT22" s="91">
        <f>IF(S22="-","-",VLOOKUP($G22,CTBat!$G$10:$AN$89,BT$9,FALSE)-S22)</f>
        <v>0</v>
      </c>
      <c r="BU22" s="91">
        <f>IF(T22="-","-",VLOOKUP($G22,CTBat!$G$10:$AN$89,BU$9,FALSE)-T22)</f>
        <v>1</v>
      </c>
      <c r="BV22" s="91">
        <f>IF(U22="-","-",VLOOKUP($G22,CTBat!$G$10:$AN$89,BV$9,FALSE)-U22)</f>
        <v>0</v>
      </c>
      <c r="BW22" s="91">
        <f>IF(V22="-","-",VLOOKUP($G22,CTBat!$G$10:$AN$89,BW$9,FALSE)-V22)</f>
        <v>1</v>
      </c>
      <c r="BX22" s="91">
        <f>IF(W22="-","-",VLOOKUP($G22,CTBat!$G$10:$AN$89,BX$9,FALSE)-W22)</f>
        <v>0</v>
      </c>
      <c r="BY22" s="91">
        <f>IF(X22="-","-",VLOOKUP($G22,CTBat!$G$10:$AN$89,BY$9,FALSE)-X22)</f>
        <v>0</v>
      </c>
      <c r="BZ22" s="91">
        <f>IF(Y22="-","-",VLOOKUP($G22,CTBat!$G$10:$AN$89,BZ$9,FALSE)-Y22)</f>
        <v>0</v>
      </c>
      <c r="CA22" s="91">
        <f>IF(Z22="-","-",VLOOKUP($G22,CTBat!$G$10:$AN$89,CA$9,FALSE)-Z22)</f>
        <v>0</v>
      </c>
      <c r="CB22" s="91">
        <f>IF(AA22="-","-",VLOOKUP($G22,CTBat!$G$10:$AN$89,CB$9,FALSE)-AA22)</f>
        <v>0</v>
      </c>
      <c r="CC22" s="91">
        <f>IF(AB22="-","-",VLOOKUP($G22,CTBat!$G$10:$AN$89,CC$9,FALSE)-AB22)</f>
        <v>0</v>
      </c>
      <c r="CD22" s="91">
        <f>IF(AC22="-","-",VLOOKUP($G22,CTBat!$G$10:$AN$89,CD$9,FALSE)-AC22)</f>
        <v>0</v>
      </c>
      <c r="CE22" s="91" t="str">
        <f>IF(AD22="-","-",VLOOKUP($G22,CTBat!$G$10:$AN$89,CE$9,FALSE)-AD22)</f>
        <v>-</v>
      </c>
      <c r="CF22" s="91" t="str">
        <f>IF(AE22="-","-",VLOOKUP($G22,CTBat!$G$10:$AN$89,CF$9,FALSE)-AE22)</f>
        <v>-</v>
      </c>
      <c r="CG22" s="91" t="str">
        <f>IF(AF22="-","-",VLOOKUP($G22,CTBat!$G$10:$AN$89,CG$9,FALSE)-AF22)</f>
        <v>-</v>
      </c>
      <c r="CH22" s="91" t="str">
        <f>IF(AG22="-","-",VLOOKUP($G22,CTBat!$G$10:$AN$89,CH$9,FALSE)-AG22)</f>
        <v>-</v>
      </c>
      <c r="CI22" s="91" t="str">
        <f>IF(AH22="-","-",VLOOKUP($G22,CTBat!$G$10:$AN$89,CI$9,FALSE)-AH22)</f>
        <v>-</v>
      </c>
      <c r="CJ22" s="91">
        <f>IF(AI22="-","-",VLOOKUP($G22,CTBat!$G$10:$AN$89,CJ$9,FALSE)-AI22)</f>
        <v>0</v>
      </c>
      <c r="CK22" s="91" t="str">
        <f>IF(AJ22="-","-",VLOOKUP($G22,CTBat!$G$10:$AN$89,CK$9,FALSE)-AJ22)</f>
        <v>-</v>
      </c>
      <c r="CL22" s="91">
        <f>IF(AK22="-","-",VLOOKUP($G22,CTBat!$G$10:$AN$89,CL$9,FALSE)-AK22)</f>
        <v>0</v>
      </c>
      <c r="CM22" s="91">
        <f>IF(AL22="-","-",VLOOKUP($G22,CTBat!$G$10:$AN$89,CM$9,FALSE)-AL22)</f>
        <v>0</v>
      </c>
      <c r="CN22" s="91">
        <f>IF(AM22="-","-",VLOOKUP($G22,CTBat!$G$10:$AN$89,CN$9,FALSE)-AM22)</f>
        <v>0</v>
      </c>
      <c r="CO22" s="91">
        <f>IF(AN22="-","-",VLOOKUP($G22,CTBat!$G$10:$AN$89,CO$9,FALSE)-AN22)</f>
        <v>0</v>
      </c>
      <c r="CP22" s="91">
        <f t="shared" si="43"/>
        <v>1</v>
      </c>
      <c r="CQ22" s="91">
        <f t="shared" si="44"/>
        <v>1</v>
      </c>
      <c r="CR22" s="91">
        <f t="shared" si="45"/>
        <v>0</v>
      </c>
      <c r="CS22" s="91">
        <f t="shared" si="46"/>
        <v>0</v>
      </c>
      <c r="CT22" s="91">
        <f t="shared" si="47"/>
        <v>2</v>
      </c>
    </row>
    <row r="23" spans="1:98">
      <c r="A23" s="91"/>
      <c r="B23" s="91"/>
      <c r="C23" s="91">
        <f t="shared" si="13"/>
        <v>2</v>
      </c>
      <c r="D23" s="91">
        <f t="shared" si="14"/>
        <v>2</v>
      </c>
      <c r="E23" s="91" t="str">
        <f t="shared" si="15"/>
        <v>K</v>
      </c>
      <c r="F23" s="91" t="s">
        <v>103</v>
      </c>
      <c r="G23" s="91" t="s">
        <v>446</v>
      </c>
      <c r="H23" s="91" t="s">
        <v>384</v>
      </c>
      <c r="I23" s="91" t="s">
        <v>213</v>
      </c>
      <c r="J23" s="91">
        <v>25</v>
      </c>
      <c r="K23" s="91" t="s">
        <v>107</v>
      </c>
      <c r="L23" s="91" t="s">
        <v>107</v>
      </c>
      <c r="M23" s="91" t="s">
        <v>47</v>
      </c>
      <c r="N23" s="282" t="s">
        <v>42</v>
      </c>
      <c r="O23" s="91" t="s">
        <v>230</v>
      </c>
      <c r="P23" s="282" t="s">
        <v>230</v>
      </c>
      <c r="Q23" s="91">
        <v>7</v>
      </c>
      <c r="R23" s="91">
        <v>8</v>
      </c>
      <c r="S23" s="91">
        <v>2</v>
      </c>
      <c r="T23" s="91">
        <v>5</v>
      </c>
      <c r="U23" s="282">
        <v>7</v>
      </c>
      <c r="V23" s="91">
        <v>8</v>
      </c>
      <c r="W23" s="91">
        <v>9</v>
      </c>
      <c r="X23" s="91">
        <v>2</v>
      </c>
      <c r="Y23" s="91">
        <v>5</v>
      </c>
      <c r="Z23" s="282">
        <v>9</v>
      </c>
      <c r="AA23" s="91">
        <v>1</v>
      </c>
      <c r="AB23" s="91">
        <v>8</v>
      </c>
      <c r="AC23" s="91">
        <v>1</v>
      </c>
      <c r="AD23" s="91" t="s">
        <v>41</v>
      </c>
      <c r="AE23" s="91" t="s">
        <v>41</v>
      </c>
      <c r="AF23" s="91" t="s">
        <v>41</v>
      </c>
      <c r="AG23" s="91" t="s">
        <v>41</v>
      </c>
      <c r="AH23" s="91" t="s">
        <v>41</v>
      </c>
      <c r="AI23" s="91">
        <v>9</v>
      </c>
      <c r="AJ23" s="91">
        <v>3</v>
      </c>
      <c r="AK23" s="282">
        <v>7</v>
      </c>
      <c r="AL23" s="91">
        <v>3</v>
      </c>
      <c r="AM23" s="91">
        <v>4</v>
      </c>
      <c r="AN23" s="282">
        <v>2</v>
      </c>
      <c r="AO23" s="92" t="s">
        <v>41</v>
      </c>
      <c r="AP23" s="282">
        <v>0</v>
      </c>
      <c r="AQ23" s="93">
        <f t="shared" si="16"/>
        <v>4.666666666666667</v>
      </c>
      <c r="AR23" s="94" t="str">
        <f t="shared" si="17"/>
        <v>Bench</v>
      </c>
      <c r="AS23" s="93">
        <f t="shared" si="18"/>
        <v>5.5</v>
      </c>
      <c r="AT23" s="93" t="str">
        <f t="shared" si="19"/>
        <v>Reg</v>
      </c>
      <c r="AU23" s="94">
        <f t="shared" si="20"/>
        <v>4.666666666666667</v>
      </c>
      <c r="AV23" s="94" t="str">
        <f t="shared" si="21"/>
        <v>Bench</v>
      </c>
      <c r="AW23" s="95">
        <f t="shared" si="22"/>
        <v>0</v>
      </c>
      <c r="AX23" s="96">
        <f t="shared" si="23"/>
        <v>1</v>
      </c>
      <c r="AY23" s="96">
        <f t="shared" si="24"/>
        <v>0</v>
      </c>
      <c r="AZ23" s="96">
        <f t="shared" si="25"/>
        <v>0</v>
      </c>
      <c r="BA23" s="96">
        <f t="shared" si="26"/>
        <v>0</v>
      </c>
      <c r="BB23" s="96">
        <f t="shared" si="27"/>
        <v>1</v>
      </c>
      <c r="BC23" s="96">
        <f t="shared" si="28"/>
        <v>1</v>
      </c>
      <c r="BD23" s="96">
        <f t="shared" si="29"/>
        <v>1</v>
      </c>
      <c r="BE23" s="282">
        <f t="shared" si="30"/>
        <v>1</v>
      </c>
      <c r="BF23" s="95">
        <f t="shared" si="31"/>
        <v>0</v>
      </c>
      <c r="BG23" s="96">
        <f t="shared" si="32"/>
        <v>1</v>
      </c>
      <c r="BH23" s="96">
        <f t="shared" si="33"/>
        <v>0</v>
      </c>
      <c r="BI23" s="96">
        <f t="shared" si="34"/>
        <v>0</v>
      </c>
      <c r="BJ23" s="96">
        <f t="shared" si="35"/>
        <v>0</v>
      </c>
      <c r="BK23" s="96">
        <f t="shared" si="36"/>
        <v>1</v>
      </c>
      <c r="BL23" s="96">
        <f t="shared" si="37"/>
        <v>1</v>
      </c>
      <c r="BM23" s="96">
        <f t="shared" si="38"/>
        <v>1</v>
      </c>
      <c r="BN23" s="282">
        <f t="shared" si="39"/>
        <v>1</v>
      </c>
      <c r="BO23" s="282">
        <f t="shared" si="40"/>
        <v>0</v>
      </c>
      <c r="BP23" s="97">
        <f t="shared" si="41"/>
        <v>2</v>
      </c>
      <c r="BQ23" s="91" t="str">
        <f t="shared" si="42"/>
        <v/>
      </c>
      <c r="BR23" s="91" t="e">
        <f>IF(Q23="-","-",VLOOKUP($G23,CTBat!$G$10:$AN$89,BR$9,FALSE)-Q23)</f>
        <v>#N/A</v>
      </c>
      <c r="BS23" s="91" t="e">
        <f>IF(R23="-","-",VLOOKUP($G23,CTBat!$G$10:$AN$89,BS$9,FALSE)-R23)</f>
        <v>#N/A</v>
      </c>
      <c r="BT23" s="91" t="e">
        <f>IF(S23="-","-",VLOOKUP($G23,CTBat!$G$10:$AN$89,BT$9,FALSE)-S23)</f>
        <v>#N/A</v>
      </c>
      <c r="BU23" s="91" t="e">
        <f>IF(T23="-","-",VLOOKUP($G23,CTBat!$G$10:$AN$89,BU$9,FALSE)-T23)</f>
        <v>#N/A</v>
      </c>
      <c r="BV23" s="91" t="e">
        <f>IF(U23="-","-",VLOOKUP($G23,CTBat!$G$10:$AN$89,BV$9,FALSE)-U23)</f>
        <v>#N/A</v>
      </c>
      <c r="BW23" s="91" t="e">
        <f>IF(V23="-","-",VLOOKUP($G23,CTBat!$G$10:$AN$89,BW$9,FALSE)-V23)</f>
        <v>#N/A</v>
      </c>
      <c r="BX23" s="91" t="e">
        <f>IF(W23="-","-",VLOOKUP($G23,CTBat!$G$10:$AN$89,BX$9,FALSE)-W23)</f>
        <v>#N/A</v>
      </c>
      <c r="BY23" s="91" t="e">
        <f>IF(X23="-","-",VLOOKUP($G23,CTBat!$G$10:$AN$89,BY$9,FALSE)-X23)</f>
        <v>#N/A</v>
      </c>
      <c r="BZ23" s="91" t="e">
        <f>IF(Y23="-","-",VLOOKUP($G23,CTBat!$G$10:$AN$89,BZ$9,FALSE)-Y23)</f>
        <v>#N/A</v>
      </c>
      <c r="CA23" s="91" t="e">
        <f>IF(Z23="-","-",VLOOKUP($G23,CTBat!$G$10:$AN$89,CA$9,FALSE)-Z23)</f>
        <v>#N/A</v>
      </c>
      <c r="CB23" s="91" t="e">
        <f>IF(AA23="-","-",VLOOKUP($G23,CTBat!$G$10:$AN$89,CB$9,FALSE)-AA23)</f>
        <v>#N/A</v>
      </c>
      <c r="CC23" s="91" t="e">
        <f>IF(AB23="-","-",VLOOKUP($G23,CTBat!$G$10:$AN$89,CC$9,FALSE)-AB23)</f>
        <v>#N/A</v>
      </c>
      <c r="CD23" s="91" t="e">
        <f>IF(AC23="-","-",VLOOKUP($G23,CTBat!$G$10:$AN$89,CD$9,FALSE)-AC23)</f>
        <v>#N/A</v>
      </c>
      <c r="CE23" s="91" t="str">
        <f>IF(AD23="-","-",VLOOKUP($G23,CTBat!$G$10:$AN$89,CE$9,FALSE)-AD23)</f>
        <v>-</v>
      </c>
      <c r="CF23" s="91" t="str">
        <f>IF(AE23="-","-",VLOOKUP($G23,CTBat!$G$10:$AN$89,CF$9,FALSE)-AE23)</f>
        <v>-</v>
      </c>
      <c r="CG23" s="91" t="str">
        <f>IF(AF23="-","-",VLOOKUP($G23,CTBat!$G$10:$AN$89,CG$9,FALSE)-AF23)</f>
        <v>-</v>
      </c>
      <c r="CH23" s="91" t="str">
        <f>IF(AG23="-","-",VLOOKUP($G23,CTBat!$G$10:$AN$89,CH$9,FALSE)-AG23)</f>
        <v>-</v>
      </c>
      <c r="CI23" s="91" t="str">
        <f>IF(AH23="-","-",VLOOKUP($G23,CTBat!$G$10:$AN$89,CI$9,FALSE)-AH23)</f>
        <v>-</v>
      </c>
      <c r="CJ23" s="91" t="e">
        <f>IF(AI23="-","-",VLOOKUP($G23,CTBat!$G$10:$AN$89,CJ$9,FALSE)-AI23)</f>
        <v>#N/A</v>
      </c>
      <c r="CK23" s="91" t="e">
        <f>IF(AJ23="-","-",VLOOKUP($G23,CTBat!$G$10:$AN$89,CK$9,FALSE)-AJ23)</f>
        <v>#N/A</v>
      </c>
      <c r="CL23" s="91" t="e">
        <f>IF(AK23="-","-",VLOOKUP($G23,CTBat!$G$10:$AN$89,CL$9,FALSE)-AK23)</f>
        <v>#N/A</v>
      </c>
      <c r="CM23" s="91" t="e">
        <f>IF(AL23="-","-",VLOOKUP($G23,CTBat!$G$10:$AN$89,CM$9,FALSE)-AL23)</f>
        <v>#N/A</v>
      </c>
      <c r="CN23" s="91" t="e">
        <f>IF(AM23="-","-",VLOOKUP($G23,CTBat!$G$10:$AN$89,CN$9,FALSE)-AM23)</f>
        <v>#N/A</v>
      </c>
      <c r="CO23" s="91" t="e">
        <f>IF(AN23="-","-",VLOOKUP($G23,CTBat!$G$10:$AN$89,CO$9,FALSE)-AN23)</f>
        <v>#N/A</v>
      </c>
      <c r="CP23" s="91" t="e">
        <f t="shared" si="43"/>
        <v>#N/A</v>
      </c>
      <c r="CQ23" s="91" t="e">
        <f t="shared" si="44"/>
        <v>#N/A</v>
      </c>
      <c r="CR23" s="91" t="e">
        <f t="shared" si="45"/>
        <v>#N/A</v>
      </c>
      <c r="CS23" s="91" t="e">
        <f t="shared" si="46"/>
        <v>#N/A</v>
      </c>
      <c r="CT23" s="91" t="e">
        <f t="shared" si="47"/>
        <v>#N/A</v>
      </c>
    </row>
    <row r="24" spans="1:98">
      <c r="C24">
        <f t="shared" si="13"/>
        <v>7</v>
      </c>
      <c r="D24">
        <f t="shared" si="14"/>
        <v>7</v>
      </c>
      <c r="E24" t="str">
        <f t="shared" si="15"/>
        <v>K</v>
      </c>
      <c r="F24" t="s">
        <v>97</v>
      </c>
      <c r="G24" t="s">
        <v>567</v>
      </c>
      <c r="H24" t="s">
        <v>386</v>
      </c>
      <c r="I24" t="s">
        <v>215</v>
      </c>
      <c r="J24">
        <v>28</v>
      </c>
      <c r="K24" t="s">
        <v>107</v>
      </c>
      <c r="L24" t="s">
        <v>107</v>
      </c>
      <c r="M24" t="s">
        <v>47</v>
      </c>
      <c r="N24" s="3" t="s">
        <v>47</v>
      </c>
      <c r="O24" t="s">
        <v>229</v>
      </c>
      <c r="P24" s="3" t="s">
        <v>231</v>
      </c>
      <c r="Q24">
        <v>5</v>
      </c>
      <c r="R24">
        <v>7</v>
      </c>
      <c r="S24">
        <v>7</v>
      </c>
      <c r="T24">
        <v>5</v>
      </c>
      <c r="U24" s="3">
        <v>3</v>
      </c>
      <c r="V24">
        <v>5</v>
      </c>
      <c r="W24">
        <v>7</v>
      </c>
      <c r="X24">
        <v>7</v>
      </c>
      <c r="Y24">
        <v>5</v>
      </c>
      <c r="Z24" s="3">
        <v>3</v>
      </c>
      <c r="AA24">
        <v>7</v>
      </c>
      <c r="AB24">
        <v>1</v>
      </c>
      <c r="AC24">
        <v>1</v>
      </c>
      <c r="AD24" t="s">
        <v>41</v>
      </c>
      <c r="AE24">
        <v>10</v>
      </c>
      <c r="AF24">
        <v>5</v>
      </c>
      <c r="AG24">
        <v>6</v>
      </c>
      <c r="AH24">
        <v>4</v>
      </c>
      <c r="AI24" t="s">
        <v>41</v>
      </c>
      <c r="AJ24" t="s">
        <v>41</v>
      </c>
      <c r="AK24" s="3" t="s">
        <v>41</v>
      </c>
      <c r="AL24">
        <v>5</v>
      </c>
      <c r="AM24">
        <v>6</v>
      </c>
      <c r="AN24" s="3">
        <v>5</v>
      </c>
      <c r="AO24" s="85" t="s">
        <v>41</v>
      </c>
      <c r="AP24" s="3">
        <v>0</v>
      </c>
      <c r="AQ24" s="6">
        <f t="shared" si="16"/>
        <v>5.166666666666667</v>
      </c>
      <c r="AR24" s="9" t="str">
        <f t="shared" si="17"/>
        <v>Reg</v>
      </c>
      <c r="AS24" s="6">
        <f t="shared" si="18"/>
        <v>5.166666666666667</v>
      </c>
      <c r="AT24" s="6" t="str">
        <f t="shared" si="19"/>
        <v>Reg</v>
      </c>
      <c r="AU24" s="9">
        <f t="shared" si="20"/>
        <v>5.166666666666667</v>
      </c>
      <c r="AV24" s="9" t="str">
        <f t="shared" si="21"/>
        <v>Reg</v>
      </c>
      <c r="AW24" s="53">
        <f t="shared" si="22"/>
        <v>0</v>
      </c>
      <c r="AX24" s="5">
        <f t="shared" si="23"/>
        <v>0</v>
      </c>
      <c r="AY24" s="5">
        <f t="shared" si="24"/>
        <v>0</v>
      </c>
      <c r="AZ24" s="5">
        <f t="shared" si="25"/>
        <v>0</v>
      </c>
      <c r="BA24" s="5">
        <f t="shared" si="26"/>
        <v>0</v>
      </c>
      <c r="BB24" s="5">
        <f t="shared" si="27"/>
        <v>0</v>
      </c>
      <c r="BC24" s="5">
        <f t="shared" si="28"/>
        <v>1</v>
      </c>
      <c r="BD24" s="5">
        <f t="shared" si="29"/>
        <v>1</v>
      </c>
      <c r="BE24" s="3">
        <f t="shared" si="30"/>
        <v>1</v>
      </c>
      <c r="BF24" s="53">
        <f t="shared" si="31"/>
        <v>0</v>
      </c>
      <c r="BG24" s="5">
        <f t="shared" si="32"/>
        <v>0</v>
      </c>
      <c r="BH24" s="5">
        <f t="shared" si="33"/>
        <v>0</v>
      </c>
      <c r="BI24" s="5">
        <f t="shared" si="34"/>
        <v>0</v>
      </c>
      <c r="BJ24" s="5">
        <f t="shared" si="35"/>
        <v>0</v>
      </c>
      <c r="BK24" s="5">
        <f t="shared" si="36"/>
        <v>0</v>
      </c>
      <c r="BL24" s="5">
        <f t="shared" si="37"/>
        <v>1</v>
      </c>
      <c r="BM24" s="5">
        <f t="shared" si="38"/>
        <v>1</v>
      </c>
      <c r="BN24" s="3">
        <f t="shared" si="39"/>
        <v>1</v>
      </c>
      <c r="BO24" s="3">
        <f t="shared" si="40"/>
        <v>0</v>
      </c>
      <c r="BP24" s="7">
        <f t="shared" si="41"/>
        <v>2</v>
      </c>
      <c r="BQ24" t="str">
        <f t="shared" si="42"/>
        <v/>
      </c>
      <c r="BR24" s="91">
        <f>IF(Q24="-","-",VLOOKUP($G24,CTBat!$G$10:$AN$89,BR$9,FALSE)-Q24)</f>
        <v>0</v>
      </c>
      <c r="BS24" s="91">
        <f>IF(R24="-","-",VLOOKUP($G24,CTBat!$G$10:$AN$89,BS$9,FALSE)-R24)</f>
        <v>0</v>
      </c>
      <c r="BT24" s="91">
        <f>IF(S24="-","-",VLOOKUP($G24,CTBat!$G$10:$AN$89,BT$9,FALSE)-S24)</f>
        <v>0</v>
      </c>
      <c r="BU24" s="91">
        <f>IF(T24="-","-",VLOOKUP($G24,CTBat!$G$10:$AN$89,BU$9,FALSE)-T24)</f>
        <v>1</v>
      </c>
      <c r="BV24" s="91">
        <f>IF(U24="-","-",VLOOKUP($G24,CTBat!$G$10:$AN$89,BV$9,FALSE)-U24)</f>
        <v>0</v>
      </c>
      <c r="BW24" s="91">
        <f>IF(V24="-","-",VLOOKUP($G24,CTBat!$G$10:$AN$89,BW$9,FALSE)-V24)</f>
        <v>0</v>
      </c>
      <c r="BX24" s="91">
        <f>IF(W24="-","-",VLOOKUP($G24,CTBat!$G$10:$AN$89,BX$9,FALSE)-W24)</f>
        <v>0</v>
      </c>
      <c r="BY24" s="91">
        <f>IF(X24="-","-",VLOOKUP($G24,CTBat!$G$10:$AN$89,BY$9,FALSE)-X24)</f>
        <v>0</v>
      </c>
      <c r="BZ24" s="91">
        <f>IF(Y24="-","-",VLOOKUP($G24,CTBat!$G$10:$AN$89,BZ$9,FALSE)-Y24)</f>
        <v>1</v>
      </c>
      <c r="CA24" s="91">
        <f>IF(Z24="-","-",VLOOKUP($G24,CTBat!$G$10:$AN$89,CA$9,FALSE)-Z24)</f>
        <v>0</v>
      </c>
      <c r="CB24" s="91">
        <f>IF(AA24="-","-",VLOOKUP($G24,CTBat!$G$10:$AN$89,CB$9,FALSE)-AA24)</f>
        <v>0</v>
      </c>
      <c r="CC24" s="91">
        <f>IF(AB24="-","-",VLOOKUP($G24,CTBat!$G$10:$AN$89,CC$9,FALSE)-AB24)</f>
        <v>0</v>
      </c>
      <c r="CD24" s="91">
        <f>IF(AC24="-","-",VLOOKUP($G24,CTBat!$G$10:$AN$89,CD$9,FALSE)-AC24)</f>
        <v>0</v>
      </c>
      <c r="CE24" s="91" t="str">
        <f>IF(AD24="-","-",VLOOKUP($G24,CTBat!$G$10:$AN$89,CE$9,FALSE)-AD24)</f>
        <v>-</v>
      </c>
      <c r="CF24" s="91">
        <f>IF(AE24="-","-",VLOOKUP($G24,CTBat!$G$10:$AN$89,CF$9,FALSE)-AE24)</f>
        <v>0</v>
      </c>
      <c r="CG24" s="91">
        <f>IF(AF24="-","-",VLOOKUP($G24,CTBat!$G$10:$AN$89,CG$9,FALSE)-AF24)</f>
        <v>0</v>
      </c>
      <c r="CH24" s="91">
        <f>IF(AG24="-","-",VLOOKUP($G24,CTBat!$G$10:$AN$89,CH$9,FALSE)-AG24)</f>
        <v>0</v>
      </c>
      <c r="CI24" s="91">
        <f>IF(AH24="-","-",VLOOKUP($G24,CTBat!$G$10:$AN$89,CI$9,FALSE)-AH24)</f>
        <v>0</v>
      </c>
      <c r="CJ24" s="91" t="str">
        <f>IF(AI24="-","-",VLOOKUP($G24,CTBat!$G$10:$AN$89,CJ$9,FALSE)-AI24)</f>
        <v>-</v>
      </c>
      <c r="CK24" s="91" t="str">
        <f>IF(AJ24="-","-",VLOOKUP($G24,CTBat!$G$10:$AN$89,CK$9,FALSE)-AJ24)</f>
        <v>-</v>
      </c>
      <c r="CL24" s="91" t="str">
        <f>IF(AK24="-","-",VLOOKUP($G24,CTBat!$G$10:$AN$89,CL$9,FALSE)-AK24)</f>
        <v>-</v>
      </c>
      <c r="CM24" s="91">
        <f>IF(AL24="-","-",VLOOKUP($G24,CTBat!$G$10:$AN$89,CM$9,FALSE)-AL24)</f>
        <v>0</v>
      </c>
      <c r="CN24" s="91">
        <f>IF(AM24="-","-",VLOOKUP($G24,CTBat!$G$10:$AN$89,CN$9,FALSE)-AM24)</f>
        <v>0</v>
      </c>
      <c r="CO24" s="91">
        <f>IF(AN24="-","-",VLOOKUP($G24,CTBat!$G$10:$AN$89,CO$9,FALSE)-AN24)</f>
        <v>0</v>
      </c>
      <c r="CP24" s="91">
        <f t="shared" si="43"/>
        <v>1</v>
      </c>
      <c r="CQ24" s="91">
        <f t="shared" si="44"/>
        <v>1</v>
      </c>
      <c r="CR24" s="91">
        <f t="shared" si="45"/>
        <v>0</v>
      </c>
      <c r="CS24" s="91">
        <f t="shared" si="46"/>
        <v>0</v>
      </c>
      <c r="CT24" s="91">
        <f t="shared" si="47"/>
        <v>2</v>
      </c>
    </row>
    <row r="25" spans="1:98">
      <c r="C25" t="str">
        <f t="shared" si="13"/>
        <v>-</v>
      </c>
      <c r="D25" t="str">
        <f t="shared" si="14"/>
        <v>-</v>
      </c>
      <c r="E25" t="str">
        <f t="shared" si="15"/>
        <v>K</v>
      </c>
      <c r="F25" t="s">
        <v>103</v>
      </c>
      <c r="G25" t="s">
        <v>249</v>
      </c>
      <c r="H25" t="s">
        <v>385</v>
      </c>
      <c r="I25" t="s">
        <v>214</v>
      </c>
      <c r="J25">
        <v>23</v>
      </c>
      <c r="K25" t="s">
        <v>107</v>
      </c>
      <c r="L25" t="s">
        <v>107</v>
      </c>
      <c r="M25" t="s">
        <v>47</v>
      </c>
      <c r="N25" s="3" t="s">
        <v>47</v>
      </c>
      <c r="O25" t="s">
        <v>228</v>
      </c>
      <c r="P25" s="3" t="s">
        <v>228</v>
      </c>
      <c r="Q25">
        <v>6</v>
      </c>
      <c r="R25">
        <v>5</v>
      </c>
      <c r="S25">
        <v>4</v>
      </c>
      <c r="T25">
        <v>5</v>
      </c>
      <c r="U25" s="3">
        <v>6</v>
      </c>
      <c r="V25">
        <v>6</v>
      </c>
      <c r="W25">
        <v>6</v>
      </c>
      <c r="X25">
        <v>4</v>
      </c>
      <c r="Y25">
        <v>5</v>
      </c>
      <c r="Z25" s="3">
        <v>6</v>
      </c>
      <c r="AA25">
        <v>1</v>
      </c>
      <c r="AB25">
        <v>6</v>
      </c>
      <c r="AC25">
        <v>1</v>
      </c>
      <c r="AD25" t="s">
        <v>41</v>
      </c>
      <c r="AE25">
        <v>1</v>
      </c>
      <c r="AF25" t="s">
        <v>41</v>
      </c>
      <c r="AG25" t="s">
        <v>41</v>
      </c>
      <c r="AH25" t="s">
        <v>41</v>
      </c>
      <c r="AI25">
        <v>3</v>
      </c>
      <c r="AJ25">
        <v>1</v>
      </c>
      <c r="AK25" s="3">
        <v>3</v>
      </c>
      <c r="AL25">
        <v>4</v>
      </c>
      <c r="AM25">
        <v>4</v>
      </c>
      <c r="AN25" s="3">
        <v>4</v>
      </c>
      <c r="AO25" s="85" t="s">
        <v>41</v>
      </c>
      <c r="AP25" s="3">
        <v>0</v>
      </c>
      <c r="AQ25" s="6">
        <f t="shared" si="16"/>
        <v>5</v>
      </c>
      <c r="AR25" s="9" t="str">
        <f t="shared" si="17"/>
        <v>Bench</v>
      </c>
      <c r="AS25" s="6">
        <f t="shared" si="18"/>
        <v>5</v>
      </c>
      <c r="AT25" s="6" t="str">
        <f t="shared" si="19"/>
        <v>Bench</v>
      </c>
      <c r="AU25" s="9">
        <f t="shared" si="20"/>
        <v>5</v>
      </c>
      <c r="AV25" s="9" t="str">
        <f t="shared" si="21"/>
        <v>Bench</v>
      </c>
      <c r="AW25" s="53">
        <f t="shared" si="22"/>
        <v>0</v>
      </c>
      <c r="AX25" s="5">
        <f t="shared" si="23"/>
        <v>0</v>
      </c>
      <c r="AY25" s="5">
        <f t="shared" si="24"/>
        <v>0</v>
      </c>
      <c r="AZ25" s="5">
        <f t="shared" si="25"/>
        <v>0</v>
      </c>
      <c r="BA25" s="5">
        <f t="shared" si="26"/>
        <v>0</v>
      </c>
      <c r="BB25" s="5">
        <f t="shared" si="27"/>
        <v>0</v>
      </c>
      <c r="BC25" s="5">
        <f t="shared" si="28"/>
        <v>0</v>
      </c>
      <c r="BD25" s="5">
        <f t="shared" si="29"/>
        <v>0</v>
      </c>
      <c r="BE25" s="3">
        <f t="shared" si="30"/>
        <v>0</v>
      </c>
      <c r="BF25" s="53">
        <f t="shared" si="31"/>
        <v>0</v>
      </c>
      <c r="BG25" s="5">
        <f t="shared" si="32"/>
        <v>0</v>
      </c>
      <c r="BH25" s="5">
        <f t="shared" si="33"/>
        <v>0</v>
      </c>
      <c r="BI25" s="5">
        <f t="shared" si="34"/>
        <v>0</v>
      </c>
      <c r="BJ25" s="5">
        <f t="shared" si="35"/>
        <v>0</v>
      </c>
      <c r="BK25" s="5">
        <f t="shared" si="36"/>
        <v>0</v>
      </c>
      <c r="BL25" s="5">
        <f t="shared" si="37"/>
        <v>0</v>
      </c>
      <c r="BM25" s="5">
        <f t="shared" si="38"/>
        <v>0</v>
      </c>
      <c r="BN25" s="3">
        <f t="shared" si="39"/>
        <v>0</v>
      </c>
      <c r="BO25" s="3">
        <f t="shared" si="40"/>
        <v>0</v>
      </c>
      <c r="BP25" s="7">
        <f t="shared" si="41"/>
        <v>0</v>
      </c>
      <c r="BQ25" t="str">
        <f t="shared" si="42"/>
        <v/>
      </c>
      <c r="BR25" s="91">
        <f>IF(Q25="-","-",VLOOKUP($G25,CTBat!$G$10:$AN$89,BR$9,FALSE)-Q25)</f>
        <v>0</v>
      </c>
      <c r="BS25" s="91">
        <f>IF(R25="-","-",VLOOKUP($G25,CTBat!$G$10:$AN$89,BS$9,FALSE)-R25)</f>
        <v>0</v>
      </c>
      <c r="BT25" s="91">
        <f>IF(S25="-","-",VLOOKUP($G25,CTBat!$G$10:$AN$89,BT$9,FALSE)-S25)</f>
        <v>0</v>
      </c>
      <c r="BU25" s="91">
        <f>IF(T25="-","-",VLOOKUP($G25,CTBat!$G$10:$AN$89,BU$9,FALSE)-T25)</f>
        <v>0</v>
      </c>
      <c r="BV25" s="91">
        <f>IF(U25="-","-",VLOOKUP($G25,CTBat!$G$10:$AN$89,BV$9,FALSE)-U25)</f>
        <v>0</v>
      </c>
      <c r="BW25" s="91">
        <f>IF(V25="-","-",VLOOKUP($G25,CTBat!$G$10:$AN$89,BW$9,FALSE)-V25)</f>
        <v>0</v>
      </c>
      <c r="BX25" s="91">
        <f>IF(W25="-","-",VLOOKUP($G25,CTBat!$G$10:$AN$89,BX$9,FALSE)-W25)</f>
        <v>0</v>
      </c>
      <c r="BY25" s="91">
        <f>IF(X25="-","-",VLOOKUP($G25,CTBat!$G$10:$AN$89,BY$9,FALSE)-X25)</f>
        <v>0</v>
      </c>
      <c r="BZ25" s="91">
        <f>IF(Y25="-","-",VLOOKUP($G25,CTBat!$G$10:$AN$89,BZ$9,FALSE)-Y25)</f>
        <v>0</v>
      </c>
      <c r="CA25" s="91">
        <f>IF(Z25="-","-",VLOOKUP($G25,CTBat!$G$10:$AN$89,CA$9,FALSE)-Z25)</f>
        <v>0</v>
      </c>
      <c r="CB25" s="91">
        <f>IF(AA25="-","-",VLOOKUP($G25,CTBat!$G$10:$AN$89,CB$9,FALSE)-AA25)</f>
        <v>0</v>
      </c>
      <c r="CC25" s="91">
        <f>IF(AB25="-","-",VLOOKUP($G25,CTBat!$G$10:$AN$89,CC$9,FALSE)-AB25)</f>
        <v>0</v>
      </c>
      <c r="CD25" s="91">
        <f>IF(AC25="-","-",VLOOKUP($G25,CTBat!$G$10:$AN$89,CD$9,FALSE)-AC25)</f>
        <v>0</v>
      </c>
      <c r="CE25" s="91" t="str">
        <f>IF(AD25="-","-",VLOOKUP($G25,CTBat!$G$10:$AN$89,CE$9,FALSE)-AD25)</f>
        <v>-</v>
      </c>
      <c r="CF25" s="91">
        <f>IF(AE25="-","-",VLOOKUP($G25,CTBat!$G$10:$AN$89,CF$9,FALSE)-AE25)</f>
        <v>0</v>
      </c>
      <c r="CG25" s="91" t="str">
        <f>IF(AF25="-","-",VLOOKUP($G25,CTBat!$G$10:$AN$89,CG$9,FALSE)-AF25)</f>
        <v>-</v>
      </c>
      <c r="CH25" s="91" t="str">
        <f>IF(AG25="-","-",VLOOKUP($G25,CTBat!$G$10:$AN$89,CH$9,FALSE)-AG25)</f>
        <v>-</v>
      </c>
      <c r="CI25" s="91" t="str">
        <f>IF(AH25="-","-",VLOOKUP($G25,CTBat!$G$10:$AN$89,CI$9,FALSE)-AH25)</f>
        <v>-</v>
      </c>
      <c r="CJ25" s="91">
        <f>IF(AI25="-","-",VLOOKUP($G25,CTBat!$G$10:$AN$89,CJ$9,FALSE)-AI25)</f>
        <v>1</v>
      </c>
      <c r="CK25" s="91">
        <f>IF(AJ25="-","-",VLOOKUP($G25,CTBat!$G$10:$AN$89,CK$9,FALSE)-AJ25)</f>
        <v>0</v>
      </c>
      <c r="CL25" s="91">
        <f>IF(AK25="-","-",VLOOKUP($G25,CTBat!$G$10:$AN$89,CL$9,FALSE)-AK25)</f>
        <v>1</v>
      </c>
      <c r="CM25" s="91">
        <f>IF(AL25="-","-",VLOOKUP($G25,CTBat!$G$10:$AN$89,CM$9,FALSE)-AL25)</f>
        <v>0</v>
      </c>
      <c r="CN25" s="91">
        <f>IF(AM25="-","-",VLOOKUP($G25,CTBat!$G$10:$AN$89,CN$9,FALSE)-AM25)</f>
        <v>0</v>
      </c>
      <c r="CO25" s="91">
        <f>IF(AN25="-","-",VLOOKUP($G25,CTBat!$G$10:$AN$89,CO$9,FALSE)-AN25)</f>
        <v>0</v>
      </c>
      <c r="CP25" s="91">
        <f t="shared" si="43"/>
        <v>0</v>
      </c>
      <c r="CQ25" s="91">
        <f t="shared" si="44"/>
        <v>0</v>
      </c>
      <c r="CR25" s="91">
        <f t="shared" si="45"/>
        <v>2</v>
      </c>
      <c r="CS25" s="91">
        <f t="shared" si="46"/>
        <v>0</v>
      </c>
      <c r="CT25" s="91">
        <f t="shared" si="47"/>
        <v>2</v>
      </c>
    </row>
    <row r="26" spans="1:98">
      <c r="C26" t="str">
        <f t="shared" si="13"/>
        <v>-</v>
      </c>
      <c r="D26" t="str">
        <f t="shared" si="14"/>
        <v>-</v>
      </c>
      <c r="E26" t="str">
        <f t="shared" si="15"/>
        <v>K</v>
      </c>
      <c r="F26" t="s">
        <v>98</v>
      </c>
      <c r="G26" t="s">
        <v>505</v>
      </c>
      <c r="H26" t="s">
        <v>383</v>
      </c>
      <c r="I26" t="s">
        <v>327</v>
      </c>
      <c r="J26">
        <v>22</v>
      </c>
      <c r="K26" t="s">
        <v>107</v>
      </c>
      <c r="L26" t="s">
        <v>107</v>
      </c>
      <c r="M26" t="s">
        <v>47</v>
      </c>
      <c r="N26" s="3" t="s">
        <v>47</v>
      </c>
      <c r="O26" t="s">
        <v>229</v>
      </c>
      <c r="P26" s="3" t="s">
        <v>229</v>
      </c>
      <c r="Q26">
        <v>3</v>
      </c>
      <c r="R26">
        <v>6</v>
      </c>
      <c r="S26">
        <v>2</v>
      </c>
      <c r="T26">
        <v>3</v>
      </c>
      <c r="U26" s="3">
        <v>1</v>
      </c>
      <c r="V26">
        <v>5</v>
      </c>
      <c r="W26">
        <v>6</v>
      </c>
      <c r="X26">
        <v>4</v>
      </c>
      <c r="Y26">
        <v>4</v>
      </c>
      <c r="Z26" s="3">
        <v>4</v>
      </c>
      <c r="AA26">
        <v>3</v>
      </c>
      <c r="AB26">
        <v>1</v>
      </c>
      <c r="AC26">
        <v>1</v>
      </c>
      <c r="AD26" t="s">
        <v>41</v>
      </c>
      <c r="AE26" t="s">
        <v>41</v>
      </c>
      <c r="AF26">
        <v>4</v>
      </c>
      <c r="AG26" t="s">
        <v>41</v>
      </c>
      <c r="AH26" t="s">
        <v>41</v>
      </c>
      <c r="AI26" t="s">
        <v>41</v>
      </c>
      <c r="AJ26" t="s">
        <v>41</v>
      </c>
      <c r="AK26" s="3" t="s">
        <v>41</v>
      </c>
      <c r="AL26">
        <v>8</v>
      </c>
      <c r="AM26">
        <v>9</v>
      </c>
      <c r="AN26" s="3">
        <v>8</v>
      </c>
      <c r="AO26" s="85" t="s">
        <v>41</v>
      </c>
      <c r="AP26" s="3">
        <v>0</v>
      </c>
      <c r="AQ26" s="6">
        <f t="shared" si="16"/>
        <v>1.1666666666666665</v>
      </c>
      <c r="AR26" s="9" t="str">
        <f t="shared" si="17"/>
        <v>Minors</v>
      </c>
      <c r="AS26" s="6">
        <f t="shared" si="18"/>
        <v>3.833333333333333</v>
      </c>
      <c r="AT26" s="6" t="str">
        <f t="shared" si="19"/>
        <v>Minors</v>
      </c>
      <c r="AU26" s="9">
        <f t="shared" si="20"/>
        <v>3.833333333333333</v>
      </c>
      <c r="AV26" s="9" t="str">
        <f t="shared" si="21"/>
        <v>Minors</v>
      </c>
      <c r="AW26" s="53">
        <f t="shared" si="22"/>
        <v>0</v>
      </c>
      <c r="AX26" s="5">
        <f t="shared" si="23"/>
        <v>0</v>
      </c>
      <c r="AY26" s="5">
        <f t="shared" si="24"/>
        <v>0</v>
      </c>
      <c r="AZ26" s="5">
        <f t="shared" si="25"/>
        <v>0</v>
      </c>
      <c r="BA26" s="5">
        <f t="shared" si="26"/>
        <v>0</v>
      </c>
      <c r="BB26" s="5">
        <f t="shared" si="27"/>
        <v>0</v>
      </c>
      <c r="BC26" s="5">
        <f t="shared" si="28"/>
        <v>0</v>
      </c>
      <c r="BD26" s="5">
        <f t="shared" si="29"/>
        <v>0</v>
      </c>
      <c r="BE26" s="3">
        <f t="shared" si="30"/>
        <v>0</v>
      </c>
      <c r="BF26" s="53">
        <f t="shared" si="31"/>
        <v>0</v>
      </c>
      <c r="BG26" s="5">
        <f t="shared" si="32"/>
        <v>0</v>
      </c>
      <c r="BH26" s="5">
        <f t="shared" si="33"/>
        <v>0</v>
      </c>
      <c r="BI26" s="5">
        <f t="shared" si="34"/>
        <v>0</v>
      </c>
      <c r="BJ26" s="5">
        <f t="shared" si="35"/>
        <v>0</v>
      </c>
      <c r="BK26" s="5">
        <f t="shared" si="36"/>
        <v>0</v>
      </c>
      <c r="BL26" s="5">
        <f t="shared" si="37"/>
        <v>0</v>
      </c>
      <c r="BM26" s="5">
        <f t="shared" si="38"/>
        <v>0</v>
      </c>
      <c r="BN26" s="3">
        <f t="shared" si="39"/>
        <v>0</v>
      </c>
      <c r="BO26" s="3">
        <f t="shared" si="40"/>
        <v>4</v>
      </c>
      <c r="BP26" s="7">
        <f t="shared" si="41"/>
        <v>0</v>
      </c>
      <c r="BQ26" t="str">
        <f t="shared" si="42"/>
        <v/>
      </c>
      <c r="BR26" s="91">
        <f>IF(Q26="-","-",VLOOKUP($G26,CTBat!$G$10:$AN$89,BR$9,FALSE)-Q26)</f>
        <v>1</v>
      </c>
      <c r="BS26" s="91">
        <f>IF(R26="-","-",VLOOKUP($G26,CTBat!$G$10:$AN$89,BS$9,FALSE)-R26)</f>
        <v>0</v>
      </c>
      <c r="BT26" s="91">
        <f>IF(S26="-","-",VLOOKUP($G26,CTBat!$G$10:$AN$89,BT$9,FALSE)-S26)</f>
        <v>0</v>
      </c>
      <c r="BU26" s="91">
        <f>IF(T26="-","-",VLOOKUP($G26,CTBat!$G$10:$AN$89,BU$9,FALSE)-T26)</f>
        <v>0</v>
      </c>
      <c r="BV26" s="91">
        <f>IF(U26="-","-",VLOOKUP($G26,CTBat!$G$10:$AN$89,BV$9,FALSE)-U26)</f>
        <v>1</v>
      </c>
      <c r="BW26" s="91">
        <f>IF(V26="-","-",VLOOKUP($G26,CTBat!$G$10:$AN$89,BW$9,FALSE)-V26)</f>
        <v>0</v>
      </c>
      <c r="BX26" s="91">
        <f>IF(W26="-","-",VLOOKUP($G26,CTBat!$G$10:$AN$89,BX$9,FALSE)-W26)</f>
        <v>0</v>
      </c>
      <c r="BY26" s="91">
        <f>IF(X26="-","-",VLOOKUP($G26,CTBat!$G$10:$AN$89,BY$9,FALSE)-X26)</f>
        <v>0</v>
      </c>
      <c r="BZ26" s="91">
        <f>IF(Y26="-","-",VLOOKUP($G26,CTBat!$G$10:$AN$89,BZ$9,FALSE)-Y26)</f>
        <v>0</v>
      </c>
      <c r="CA26" s="91">
        <f>IF(Z26="-","-",VLOOKUP($G26,CTBat!$G$10:$AN$89,CA$9,FALSE)-Z26)</f>
        <v>0</v>
      </c>
      <c r="CB26" s="91">
        <f>IF(AA26="-","-",VLOOKUP($G26,CTBat!$G$10:$AN$89,CB$9,FALSE)-AA26)</f>
        <v>0</v>
      </c>
      <c r="CC26" s="91">
        <f>IF(AB26="-","-",VLOOKUP($G26,CTBat!$G$10:$AN$89,CC$9,FALSE)-AB26)</f>
        <v>0</v>
      </c>
      <c r="CD26" s="91">
        <f>IF(AC26="-","-",VLOOKUP($G26,CTBat!$G$10:$AN$89,CD$9,FALSE)-AC26)</f>
        <v>0</v>
      </c>
      <c r="CE26" s="91" t="str">
        <f>IF(AD26="-","-",VLOOKUP($G26,CTBat!$G$10:$AN$89,CE$9,FALSE)-AD26)</f>
        <v>-</v>
      </c>
      <c r="CF26" s="91" t="str">
        <f>IF(AE26="-","-",VLOOKUP($G26,CTBat!$G$10:$AN$89,CF$9,FALSE)-AE26)</f>
        <v>-</v>
      </c>
      <c r="CG26" s="91">
        <f>IF(AF26="-","-",VLOOKUP($G26,CTBat!$G$10:$AN$89,CG$9,FALSE)-AF26)</f>
        <v>0</v>
      </c>
      <c r="CH26" s="91" t="str">
        <f>IF(AG26="-","-",VLOOKUP($G26,CTBat!$G$10:$AN$89,CH$9,FALSE)-AG26)</f>
        <v>-</v>
      </c>
      <c r="CI26" s="91" t="str">
        <f>IF(AH26="-","-",VLOOKUP($G26,CTBat!$G$10:$AN$89,CI$9,FALSE)-AH26)</f>
        <v>-</v>
      </c>
      <c r="CJ26" s="91" t="str">
        <f>IF(AI26="-","-",VLOOKUP($G26,CTBat!$G$10:$AN$89,CJ$9,FALSE)-AI26)</f>
        <v>-</v>
      </c>
      <c r="CK26" s="91" t="str">
        <f>IF(AJ26="-","-",VLOOKUP($G26,CTBat!$G$10:$AN$89,CK$9,FALSE)-AJ26)</f>
        <v>-</v>
      </c>
      <c r="CL26" s="91" t="str">
        <f>IF(AK26="-","-",VLOOKUP($G26,CTBat!$G$10:$AN$89,CL$9,FALSE)-AK26)</f>
        <v>-</v>
      </c>
      <c r="CM26" s="91">
        <f>IF(AL26="-","-",VLOOKUP($G26,CTBat!$G$10:$AN$89,CM$9,FALSE)-AL26)</f>
        <v>0</v>
      </c>
      <c r="CN26" s="91">
        <f>IF(AM26="-","-",VLOOKUP($G26,CTBat!$G$10:$AN$89,CN$9,FALSE)-AM26)</f>
        <v>0</v>
      </c>
      <c r="CO26" s="91">
        <f>IF(AN26="-","-",VLOOKUP($G26,CTBat!$G$10:$AN$89,CO$9,FALSE)-AN26)</f>
        <v>0</v>
      </c>
      <c r="CP26" s="91">
        <f t="shared" si="43"/>
        <v>2</v>
      </c>
      <c r="CQ26" s="91">
        <f t="shared" si="44"/>
        <v>0</v>
      </c>
      <c r="CR26" s="91">
        <f t="shared" si="45"/>
        <v>0</v>
      </c>
      <c r="CS26" s="91">
        <f t="shared" si="46"/>
        <v>0</v>
      </c>
      <c r="CT26" s="91">
        <f t="shared" si="47"/>
        <v>2</v>
      </c>
    </row>
    <row r="27" spans="1:98" s="104" customFormat="1">
      <c r="A27"/>
      <c r="B27"/>
      <c r="C27" t="str">
        <f t="shared" si="13"/>
        <v>-</v>
      </c>
      <c r="D27" t="str">
        <f t="shared" si="14"/>
        <v>-</v>
      </c>
      <c r="E27" t="str">
        <f t="shared" si="15"/>
        <v>K</v>
      </c>
      <c r="F27" t="s">
        <v>100</v>
      </c>
      <c r="G27" t="s">
        <v>400</v>
      </c>
      <c r="H27" t="s">
        <v>386</v>
      </c>
      <c r="I27" t="s">
        <v>215</v>
      </c>
      <c r="J27">
        <v>24</v>
      </c>
      <c r="K27" t="s">
        <v>107</v>
      </c>
      <c r="L27" t="s">
        <v>107</v>
      </c>
      <c r="M27" t="s">
        <v>47</v>
      </c>
      <c r="N27" s="281" t="s">
        <v>47</v>
      </c>
      <c r="O27" t="s">
        <v>229</v>
      </c>
      <c r="P27" s="281" t="s">
        <v>231</v>
      </c>
      <c r="Q27">
        <v>4</v>
      </c>
      <c r="R27">
        <v>4</v>
      </c>
      <c r="S27">
        <v>2</v>
      </c>
      <c r="T27">
        <v>4</v>
      </c>
      <c r="U27" s="281">
        <v>4</v>
      </c>
      <c r="V27">
        <v>5</v>
      </c>
      <c r="W27">
        <v>4</v>
      </c>
      <c r="X27">
        <v>2</v>
      </c>
      <c r="Y27">
        <v>4</v>
      </c>
      <c r="Z27" s="281">
        <v>4</v>
      </c>
      <c r="AA27">
        <v>6</v>
      </c>
      <c r="AB27">
        <v>2</v>
      </c>
      <c r="AC27">
        <v>1</v>
      </c>
      <c r="AD27" t="s">
        <v>41</v>
      </c>
      <c r="AE27">
        <v>8</v>
      </c>
      <c r="AF27">
        <v>7</v>
      </c>
      <c r="AG27">
        <v>1</v>
      </c>
      <c r="AH27">
        <v>9</v>
      </c>
      <c r="AI27" t="s">
        <v>41</v>
      </c>
      <c r="AJ27" t="s">
        <v>41</v>
      </c>
      <c r="AK27" s="281" t="s">
        <v>41</v>
      </c>
      <c r="AL27">
        <v>7</v>
      </c>
      <c r="AM27">
        <v>8</v>
      </c>
      <c r="AN27" s="281">
        <v>9</v>
      </c>
      <c r="AO27" s="85" t="s">
        <v>41</v>
      </c>
      <c r="AP27" s="281">
        <v>0</v>
      </c>
      <c r="AQ27" s="6">
        <f t="shared" si="16"/>
        <v>2.3333333333333335</v>
      </c>
      <c r="AR27" s="9" t="str">
        <f t="shared" si="17"/>
        <v>Minors</v>
      </c>
      <c r="AS27" s="6">
        <f t="shared" si="18"/>
        <v>3.1666666666666665</v>
      </c>
      <c r="AT27" s="6" t="str">
        <f t="shared" si="19"/>
        <v>Minors</v>
      </c>
      <c r="AU27" s="9">
        <f t="shared" si="20"/>
        <v>3.1666666666666665</v>
      </c>
      <c r="AV27" s="9" t="str">
        <f t="shared" si="21"/>
        <v>Minors</v>
      </c>
      <c r="AW27" s="53">
        <f t="shared" si="22"/>
        <v>0</v>
      </c>
      <c r="AX27" s="280">
        <f t="shared" si="23"/>
        <v>0</v>
      </c>
      <c r="AY27" s="280">
        <f t="shared" si="24"/>
        <v>0</v>
      </c>
      <c r="AZ27" s="280">
        <f t="shared" si="25"/>
        <v>0</v>
      </c>
      <c r="BA27" s="280">
        <f t="shared" si="26"/>
        <v>0</v>
      </c>
      <c r="BB27" s="280">
        <f t="shared" si="27"/>
        <v>0</v>
      </c>
      <c r="BC27" s="280">
        <f t="shared" si="28"/>
        <v>0</v>
      </c>
      <c r="BD27" s="280">
        <f t="shared" si="29"/>
        <v>0</v>
      </c>
      <c r="BE27" s="281">
        <f t="shared" si="30"/>
        <v>0</v>
      </c>
      <c r="BF27" s="53">
        <f t="shared" si="31"/>
        <v>0</v>
      </c>
      <c r="BG27" s="280">
        <f t="shared" si="32"/>
        <v>0</v>
      </c>
      <c r="BH27" s="280">
        <f t="shared" si="33"/>
        <v>0</v>
      </c>
      <c r="BI27" s="280">
        <f t="shared" si="34"/>
        <v>0</v>
      </c>
      <c r="BJ27" s="280">
        <f t="shared" si="35"/>
        <v>0</v>
      </c>
      <c r="BK27" s="280">
        <f t="shared" si="36"/>
        <v>0</v>
      </c>
      <c r="BL27" s="280">
        <f t="shared" si="37"/>
        <v>0</v>
      </c>
      <c r="BM27" s="280">
        <f t="shared" si="38"/>
        <v>0</v>
      </c>
      <c r="BN27" s="281">
        <f t="shared" si="39"/>
        <v>0</v>
      </c>
      <c r="BO27" s="281">
        <f t="shared" si="40"/>
        <v>4</v>
      </c>
      <c r="BP27" s="7">
        <f t="shared" si="41"/>
        <v>2</v>
      </c>
      <c r="BQ27" t="str">
        <f t="shared" si="42"/>
        <v/>
      </c>
      <c r="BR27" s="91">
        <f>IF(Q27="-","-",VLOOKUP($G27,CTBat!$G$10:$AN$89,BR$9,FALSE)-Q27)</f>
        <v>0</v>
      </c>
      <c r="BS27" s="91">
        <f>IF(R27="-","-",VLOOKUP($G27,CTBat!$G$10:$AN$89,BS$9,FALSE)-R27)</f>
        <v>0</v>
      </c>
      <c r="BT27" s="91">
        <f>IF(S27="-","-",VLOOKUP($G27,CTBat!$G$10:$AN$89,BT$9,FALSE)-S27)</f>
        <v>0</v>
      </c>
      <c r="BU27" s="91">
        <f>IF(T27="-","-",VLOOKUP($G27,CTBat!$G$10:$AN$89,BU$9,FALSE)-T27)</f>
        <v>0</v>
      </c>
      <c r="BV27" s="91">
        <f>IF(U27="-","-",VLOOKUP($G27,CTBat!$G$10:$AN$89,BV$9,FALSE)-U27)</f>
        <v>0</v>
      </c>
      <c r="BW27" s="91">
        <f>IF(V27="-","-",VLOOKUP($G27,CTBat!$G$10:$AN$89,BW$9,FALSE)-V27)</f>
        <v>0</v>
      </c>
      <c r="BX27" s="91">
        <f>IF(W27="-","-",VLOOKUP($G27,CTBat!$G$10:$AN$89,BX$9,FALSE)-W27)</f>
        <v>0</v>
      </c>
      <c r="BY27" s="91">
        <f>IF(X27="-","-",VLOOKUP($G27,CTBat!$G$10:$AN$89,BY$9,FALSE)-X27)</f>
        <v>0</v>
      </c>
      <c r="BZ27" s="91">
        <f>IF(Y27="-","-",VLOOKUP($G27,CTBat!$G$10:$AN$89,BZ$9,FALSE)-Y27)</f>
        <v>1</v>
      </c>
      <c r="CA27" s="91">
        <f>IF(Z27="-","-",VLOOKUP($G27,CTBat!$G$10:$AN$89,CA$9,FALSE)-Z27)</f>
        <v>0</v>
      </c>
      <c r="CB27" s="91">
        <f>IF(AA27="-","-",VLOOKUP($G27,CTBat!$G$10:$AN$89,CB$9,FALSE)-AA27)</f>
        <v>0</v>
      </c>
      <c r="CC27" s="91">
        <f>IF(AB27="-","-",VLOOKUP($G27,CTBat!$G$10:$AN$89,CC$9,FALSE)-AB27)</f>
        <v>0</v>
      </c>
      <c r="CD27" s="91">
        <f>IF(AC27="-","-",VLOOKUP($G27,CTBat!$G$10:$AN$89,CD$9,FALSE)-AC27)</f>
        <v>0</v>
      </c>
      <c r="CE27" s="91" t="str">
        <f>IF(AD27="-","-",VLOOKUP($G27,CTBat!$G$10:$AN$89,CE$9,FALSE)-AD27)</f>
        <v>-</v>
      </c>
      <c r="CF27" s="91">
        <f>IF(AE27="-","-",VLOOKUP($G27,CTBat!$G$10:$AN$89,CF$9,FALSE)-AE27)</f>
        <v>0</v>
      </c>
      <c r="CG27" s="91">
        <f>IF(AF27="-","-",VLOOKUP($G27,CTBat!$G$10:$AN$89,CG$9,FALSE)-AF27)</f>
        <v>0</v>
      </c>
      <c r="CH27" s="91">
        <f>IF(AG27="-","-",VLOOKUP($G27,CTBat!$G$10:$AN$89,CH$9,FALSE)-AG27)</f>
        <v>0</v>
      </c>
      <c r="CI27" s="91">
        <f>IF(AH27="-","-",VLOOKUP($G27,CTBat!$G$10:$AN$89,CI$9,FALSE)-AH27)</f>
        <v>0</v>
      </c>
      <c r="CJ27" s="91" t="str">
        <f>IF(AI27="-","-",VLOOKUP($G27,CTBat!$G$10:$AN$89,CJ$9,FALSE)-AI27)</f>
        <v>-</v>
      </c>
      <c r="CK27" s="91" t="str">
        <f>IF(AJ27="-","-",VLOOKUP($G27,CTBat!$G$10:$AN$89,CK$9,FALSE)-AJ27)</f>
        <v>-</v>
      </c>
      <c r="CL27" s="91" t="str">
        <f>IF(AK27="-","-",VLOOKUP($G27,CTBat!$G$10:$AN$89,CL$9,FALSE)-AK27)</f>
        <v>-</v>
      </c>
      <c r="CM27" s="91">
        <f>IF(AL27="-","-",VLOOKUP($G27,CTBat!$G$10:$AN$89,CM$9,FALSE)-AL27)</f>
        <v>0</v>
      </c>
      <c r="CN27" s="91">
        <f>IF(AM27="-","-",VLOOKUP($G27,CTBat!$G$10:$AN$89,CN$9,FALSE)-AM27)</f>
        <v>0</v>
      </c>
      <c r="CO27" s="91">
        <f>IF(AN27="-","-",VLOOKUP($G27,CTBat!$G$10:$AN$89,CO$9,FALSE)-AN27)</f>
        <v>1</v>
      </c>
      <c r="CP27" s="91">
        <f t="shared" si="43"/>
        <v>0</v>
      </c>
      <c r="CQ27" s="91">
        <f t="shared" si="44"/>
        <v>1</v>
      </c>
      <c r="CR27" s="91">
        <f t="shared" si="45"/>
        <v>0</v>
      </c>
      <c r="CS27" s="91">
        <f t="shared" si="46"/>
        <v>1</v>
      </c>
      <c r="CT27" s="91">
        <f t="shared" si="47"/>
        <v>2</v>
      </c>
    </row>
    <row r="28" spans="1:98" s="104" customFormat="1">
      <c r="A28"/>
      <c r="B28"/>
      <c r="C28">
        <f t="shared" si="13"/>
        <v>3</v>
      </c>
      <c r="D28">
        <f t="shared" si="14"/>
        <v>2</v>
      </c>
      <c r="E28" t="str">
        <f t="shared" si="15"/>
        <v>K</v>
      </c>
      <c r="F28" t="s">
        <v>97</v>
      </c>
      <c r="G28" t="s">
        <v>462</v>
      </c>
      <c r="H28" t="s">
        <v>384</v>
      </c>
      <c r="I28" t="s">
        <v>213</v>
      </c>
      <c r="J28">
        <v>22</v>
      </c>
      <c r="K28" t="s">
        <v>107</v>
      </c>
      <c r="L28" t="s">
        <v>107</v>
      </c>
      <c r="M28" t="s">
        <v>47</v>
      </c>
      <c r="N28" s="3" t="s">
        <v>44</v>
      </c>
      <c r="O28" t="s">
        <v>229</v>
      </c>
      <c r="P28" s="3" t="s">
        <v>228</v>
      </c>
      <c r="Q28">
        <v>7</v>
      </c>
      <c r="R28">
        <v>5</v>
      </c>
      <c r="S28">
        <v>5</v>
      </c>
      <c r="T28">
        <v>8</v>
      </c>
      <c r="U28" s="3">
        <v>8</v>
      </c>
      <c r="V28">
        <v>8</v>
      </c>
      <c r="W28">
        <v>6</v>
      </c>
      <c r="X28">
        <v>8</v>
      </c>
      <c r="Y28">
        <v>9</v>
      </c>
      <c r="Z28" s="3">
        <v>9</v>
      </c>
      <c r="AA28">
        <v>5</v>
      </c>
      <c r="AB28">
        <v>3</v>
      </c>
      <c r="AC28">
        <v>1</v>
      </c>
      <c r="AD28" t="s">
        <v>41</v>
      </c>
      <c r="AE28">
        <v>7</v>
      </c>
      <c r="AF28" t="s">
        <v>41</v>
      </c>
      <c r="AG28" t="s">
        <v>41</v>
      </c>
      <c r="AH28" t="s">
        <v>41</v>
      </c>
      <c r="AI28" t="s">
        <v>41</v>
      </c>
      <c r="AJ28" t="s">
        <v>41</v>
      </c>
      <c r="AK28" s="3" t="s">
        <v>41</v>
      </c>
      <c r="AL28">
        <v>5</v>
      </c>
      <c r="AM28">
        <v>5</v>
      </c>
      <c r="AN28" s="3">
        <v>4</v>
      </c>
      <c r="AO28" s="85" t="s">
        <v>41</v>
      </c>
      <c r="AP28" s="3">
        <v>0</v>
      </c>
      <c r="AQ28" s="6">
        <f t="shared" si="16"/>
        <v>7.166666666666667</v>
      </c>
      <c r="AR28" s="9" t="str">
        <f t="shared" si="17"/>
        <v>GoodReg</v>
      </c>
      <c r="AS28" s="6">
        <f t="shared" si="18"/>
        <v>9.0833333333333339</v>
      </c>
      <c r="AT28" s="6" t="str">
        <f t="shared" si="19"/>
        <v>SuperStar</v>
      </c>
      <c r="AU28" s="9">
        <f t="shared" si="20"/>
        <v>9.0833333333333339</v>
      </c>
      <c r="AV28" s="9" t="str">
        <f t="shared" si="21"/>
        <v>SuperStar</v>
      </c>
      <c r="AW28" s="53">
        <f t="shared" si="22"/>
        <v>0</v>
      </c>
      <c r="AX28" s="5">
        <f t="shared" si="23"/>
        <v>1</v>
      </c>
      <c r="AY28" s="5">
        <f t="shared" si="24"/>
        <v>0</v>
      </c>
      <c r="AZ28" s="5">
        <f t="shared" si="25"/>
        <v>0</v>
      </c>
      <c r="BA28" s="5">
        <f t="shared" si="26"/>
        <v>0</v>
      </c>
      <c r="BB28" s="5">
        <f t="shared" si="27"/>
        <v>1</v>
      </c>
      <c r="BC28" s="5">
        <f t="shared" si="28"/>
        <v>1</v>
      </c>
      <c r="BD28" s="5">
        <f t="shared" si="29"/>
        <v>1</v>
      </c>
      <c r="BE28" s="3">
        <f t="shared" si="30"/>
        <v>1</v>
      </c>
      <c r="BF28" s="53">
        <f t="shared" si="31"/>
        <v>0</v>
      </c>
      <c r="BG28" s="5">
        <f t="shared" si="32"/>
        <v>1</v>
      </c>
      <c r="BH28" s="5">
        <f t="shared" si="33"/>
        <v>1</v>
      </c>
      <c r="BI28" s="5">
        <f t="shared" si="34"/>
        <v>1</v>
      </c>
      <c r="BJ28" s="5">
        <f t="shared" si="35"/>
        <v>1</v>
      </c>
      <c r="BK28" s="5">
        <f t="shared" si="36"/>
        <v>1</v>
      </c>
      <c r="BL28" s="5">
        <f t="shared" si="37"/>
        <v>1</v>
      </c>
      <c r="BM28" s="5">
        <f t="shared" si="38"/>
        <v>1</v>
      </c>
      <c r="BN28" s="3">
        <f t="shared" si="39"/>
        <v>1</v>
      </c>
      <c r="BO28" s="3">
        <f t="shared" si="40"/>
        <v>0</v>
      </c>
      <c r="BP28" s="7">
        <f t="shared" si="41"/>
        <v>2</v>
      </c>
      <c r="BQ28" t="str">
        <f t="shared" si="42"/>
        <v/>
      </c>
      <c r="BR28" s="91">
        <f>IF(Q28="-","-",VLOOKUP($G28,CTBat!$G$10:$AN$89,BR$9,FALSE)-Q28)</f>
        <v>0</v>
      </c>
      <c r="BS28" s="91">
        <f>IF(R28="-","-",VLOOKUP($G28,CTBat!$G$10:$AN$89,BS$9,FALSE)-R28)</f>
        <v>1</v>
      </c>
      <c r="BT28" s="91">
        <f>IF(S28="-","-",VLOOKUP($G28,CTBat!$G$10:$AN$89,BT$9,FALSE)-S28)</f>
        <v>0</v>
      </c>
      <c r="BU28" s="91">
        <f>IF(T28="-","-",VLOOKUP($G28,CTBat!$G$10:$AN$89,BU$9,FALSE)-T28)</f>
        <v>0</v>
      </c>
      <c r="BV28" s="91">
        <f>IF(U28="-","-",VLOOKUP($G28,CTBat!$G$10:$AN$89,BV$9,FALSE)-U28)</f>
        <v>0</v>
      </c>
      <c r="BW28" s="91">
        <f>IF(V28="-","-",VLOOKUP($G28,CTBat!$G$10:$AN$89,BW$9,FALSE)-V28)</f>
        <v>0</v>
      </c>
      <c r="BX28" s="91">
        <f>IF(W28="-","-",VLOOKUP($G28,CTBat!$G$10:$AN$89,BX$9,FALSE)-W28)</f>
        <v>0</v>
      </c>
      <c r="BY28" s="91">
        <f>IF(X28="-","-",VLOOKUP($G28,CTBat!$G$10:$AN$89,BY$9,FALSE)-X28)</f>
        <v>0</v>
      </c>
      <c r="BZ28" s="91">
        <f>IF(Y28="-","-",VLOOKUP($G28,CTBat!$G$10:$AN$89,BZ$9,FALSE)-Y28)</f>
        <v>0</v>
      </c>
      <c r="CA28" s="91">
        <f>IF(Z28="-","-",VLOOKUP($G28,CTBat!$G$10:$AN$89,CA$9,FALSE)-Z28)</f>
        <v>0</v>
      </c>
      <c r="CB28" s="91">
        <f>IF(AA28="-","-",VLOOKUP($G28,CTBat!$G$10:$AN$89,CB$9,FALSE)-AA28)</f>
        <v>0</v>
      </c>
      <c r="CC28" s="91">
        <f>IF(AB28="-","-",VLOOKUP($G28,CTBat!$G$10:$AN$89,CC$9,FALSE)-AB28)</f>
        <v>0</v>
      </c>
      <c r="CD28" s="91">
        <f>IF(AC28="-","-",VLOOKUP($G28,CTBat!$G$10:$AN$89,CD$9,FALSE)-AC28)</f>
        <v>0</v>
      </c>
      <c r="CE28" s="91" t="str">
        <f>IF(AD28="-","-",VLOOKUP($G28,CTBat!$G$10:$AN$89,CE$9,FALSE)-AD28)</f>
        <v>-</v>
      </c>
      <c r="CF28" s="91">
        <f>IF(AE28="-","-",VLOOKUP($G28,CTBat!$G$10:$AN$89,CF$9,FALSE)-AE28)</f>
        <v>0</v>
      </c>
      <c r="CG28" s="91" t="str">
        <f>IF(AF28="-","-",VLOOKUP($G28,CTBat!$G$10:$AN$89,CG$9,FALSE)-AF28)</f>
        <v>-</v>
      </c>
      <c r="CH28" s="91" t="str">
        <f>IF(AG28="-","-",VLOOKUP($G28,CTBat!$G$10:$AN$89,CH$9,FALSE)-AG28)</f>
        <v>-</v>
      </c>
      <c r="CI28" s="91" t="str">
        <f>IF(AH28="-","-",VLOOKUP($G28,CTBat!$G$10:$AN$89,CI$9,FALSE)-AH28)</f>
        <v>-</v>
      </c>
      <c r="CJ28" s="91" t="str">
        <f>IF(AI28="-","-",VLOOKUP($G28,CTBat!$G$10:$AN$89,CJ$9,FALSE)-AI28)</f>
        <v>-</v>
      </c>
      <c r="CK28" s="91" t="str">
        <f>IF(AJ28="-","-",VLOOKUP($G28,CTBat!$G$10:$AN$89,CK$9,FALSE)-AJ28)</f>
        <v>-</v>
      </c>
      <c r="CL28" s="91" t="str">
        <f>IF(AK28="-","-",VLOOKUP($G28,CTBat!$G$10:$AN$89,CL$9,FALSE)-AK28)</f>
        <v>-</v>
      </c>
      <c r="CM28" s="91">
        <f>IF(AL28="-","-",VLOOKUP($G28,CTBat!$G$10:$AN$89,CM$9,FALSE)-AL28)</f>
        <v>0</v>
      </c>
      <c r="CN28" s="91">
        <f>IF(AM28="-","-",VLOOKUP($G28,CTBat!$G$10:$AN$89,CN$9,FALSE)-AM28)</f>
        <v>0</v>
      </c>
      <c r="CO28" s="91">
        <f>IF(AN28="-","-",VLOOKUP($G28,CTBat!$G$10:$AN$89,CO$9,FALSE)-AN28)</f>
        <v>0</v>
      </c>
      <c r="CP28" s="91">
        <f t="shared" si="43"/>
        <v>1</v>
      </c>
      <c r="CQ28" s="91">
        <f t="shared" si="44"/>
        <v>0</v>
      </c>
      <c r="CR28" s="91">
        <f t="shared" si="45"/>
        <v>0</v>
      </c>
      <c r="CS28" s="91">
        <f t="shared" si="46"/>
        <v>0</v>
      </c>
      <c r="CT28" s="91">
        <f t="shared" si="47"/>
        <v>1</v>
      </c>
    </row>
    <row r="29" spans="1:98">
      <c r="C29">
        <f t="shared" si="13"/>
        <v>4</v>
      </c>
      <c r="D29" t="str">
        <f t="shared" si="14"/>
        <v>-</v>
      </c>
      <c r="E29" t="str">
        <f t="shared" si="15"/>
        <v>K</v>
      </c>
      <c r="F29" t="s">
        <v>99</v>
      </c>
      <c r="G29" t="s">
        <v>401</v>
      </c>
      <c r="H29" t="s">
        <v>385</v>
      </c>
      <c r="I29" t="s">
        <v>214</v>
      </c>
      <c r="J29">
        <v>23</v>
      </c>
      <c r="K29" t="s">
        <v>107</v>
      </c>
      <c r="L29" t="s">
        <v>107</v>
      </c>
      <c r="M29" t="s">
        <v>47</v>
      </c>
      <c r="N29" s="3" t="s">
        <v>48</v>
      </c>
      <c r="O29" t="s">
        <v>230</v>
      </c>
      <c r="P29" s="3" t="s">
        <v>231</v>
      </c>
      <c r="Q29">
        <v>5</v>
      </c>
      <c r="R29">
        <v>5</v>
      </c>
      <c r="S29">
        <v>4</v>
      </c>
      <c r="T29">
        <v>3</v>
      </c>
      <c r="U29" s="3">
        <v>3</v>
      </c>
      <c r="V29">
        <v>9</v>
      </c>
      <c r="W29">
        <v>5</v>
      </c>
      <c r="X29">
        <v>8</v>
      </c>
      <c r="Y29">
        <v>5</v>
      </c>
      <c r="Z29" s="3">
        <v>5</v>
      </c>
      <c r="AA29">
        <v>9</v>
      </c>
      <c r="AB29">
        <v>9</v>
      </c>
      <c r="AC29">
        <v>1</v>
      </c>
      <c r="AD29" t="s">
        <v>41</v>
      </c>
      <c r="AE29">
        <v>7</v>
      </c>
      <c r="AF29" t="s">
        <v>41</v>
      </c>
      <c r="AG29">
        <v>8</v>
      </c>
      <c r="AH29" t="s">
        <v>41</v>
      </c>
      <c r="AI29">
        <v>4</v>
      </c>
      <c r="AJ29">
        <v>2</v>
      </c>
      <c r="AK29" s="3">
        <v>4</v>
      </c>
      <c r="AL29">
        <v>2</v>
      </c>
      <c r="AM29">
        <v>5</v>
      </c>
      <c r="AN29" s="3">
        <v>3</v>
      </c>
      <c r="AO29" s="85" t="s">
        <v>41</v>
      </c>
      <c r="AP29" s="3">
        <v>0</v>
      </c>
      <c r="AQ29" s="6">
        <f t="shared" si="16"/>
        <v>3.5</v>
      </c>
      <c r="AR29" s="9" t="str">
        <f t="shared" si="17"/>
        <v>Minors</v>
      </c>
      <c r="AS29" s="6">
        <f t="shared" si="18"/>
        <v>8.0833333333333321</v>
      </c>
      <c r="AT29" s="6" t="str">
        <f t="shared" si="19"/>
        <v>Star</v>
      </c>
      <c r="AU29" s="9">
        <f t="shared" si="20"/>
        <v>6.3284271247461898</v>
      </c>
      <c r="AV29" s="9" t="str">
        <f t="shared" si="21"/>
        <v>Reg</v>
      </c>
      <c r="AW29" s="53">
        <f t="shared" si="22"/>
        <v>0</v>
      </c>
      <c r="AX29" s="5">
        <f t="shared" si="23"/>
        <v>0</v>
      </c>
      <c r="AY29" s="5">
        <f t="shared" si="24"/>
        <v>0</v>
      </c>
      <c r="AZ29" s="5">
        <f t="shared" si="25"/>
        <v>0</v>
      </c>
      <c r="BA29" s="5">
        <f t="shared" si="26"/>
        <v>0</v>
      </c>
      <c r="BB29" s="5">
        <f t="shared" si="27"/>
        <v>0</v>
      </c>
      <c r="BC29" s="5">
        <f t="shared" si="28"/>
        <v>0</v>
      </c>
      <c r="BD29" s="5">
        <f t="shared" si="29"/>
        <v>0</v>
      </c>
      <c r="BE29" s="3">
        <f t="shared" si="30"/>
        <v>0</v>
      </c>
      <c r="BF29" s="53">
        <f t="shared" si="31"/>
        <v>0</v>
      </c>
      <c r="BG29" s="5">
        <f t="shared" si="32"/>
        <v>1</v>
      </c>
      <c r="BH29" s="5">
        <f t="shared" si="33"/>
        <v>0</v>
      </c>
      <c r="BI29" s="5">
        <f t="shared" si="34"/>
        <v>1</v>
      </c>
      <c r="BJ29" s="5">
        <f t="shared" si="35"/>
        <v>1</v>
      </c>
      <c r="BK29" s="5">
        <f t="shared" si="36"/>
        <v>1</v>
      </c>
      <c r="BL29" s="5">
        <f t="shared" si="37"/>
        <v>1</v>
      </c>
      <c r="BM29" s="5">
        <f t="shared" si="38"/>
        <v>1</v>
      </c>
      <c r="BN29" s="3">
        <f t="shared" si="39"/>
        <v>1</v>
      </c>
      <c r="BO29" s="3">
        <f t="shared" si="40"/>
        <v>0</v>
      </c>
      <c r="BP29" s="7">
        <f t="shared" si="41"/>
        <v>2</v>
      </c>
      <c r="BQ29" t="str">
        <f t="shared" si="42"/>
        <v/>
      </c>
      <c r="BR29" s="91">
        <f>IF(Q29="-","-",VLOOKUP($G29,CTBat!$G$10:$AN$89,BR$9,FALSE)-Q29)</f>
        <v>1</v>
      </c>
      <c r="BS29" s="91">
        <f>IF(R29="-","-",VLOOKUP($G29,CTBat!$G$10:$AN$89,BS$9,FALSE)-R29)</f>
        <v>0</v>
      </c>
      <c r="BT29" s="91">
        <f>IF(S29="-","-",VLOOKUP($G29,CTBat!$G$10:$AN$89,BT$9,FALSE)-S29)</f>
        <v>0</v>
      </c>
      <c r="BU29" s="91">
        <f>IF(T29="-","-",VLOOKUP($G29,CTBat!$G$10:$AN$89,BU$9,FALSE)-T29)</f>
        <v>0</v>
      </c>
      <c r="BV29" s="91">
        <f>IF(U29="-","-",VLOOKUP($G29,CTBat!$G$10:$AN$89,BV$9,FALSE)-U29)</f>
        <v>0</v>
      </c>
      <c r="BW29" s="91">
        <f>IF(V29="-","-",VLOOKUP($G29,CTBat!$G$10:$AN$89,BW$9,FALSE)-V29)</f>
        <v>0</v>
      </c>
      <c r="BX29" s="91">
        <f>IF(W29="-","-",VLOOKUP($G29,CTBat!$G$10:$AN$89,BX$9,FALSE)-W29)</f>
        <v>0</v>
      </c>
      <c r="BY29" s="91">
        <f>IF(X29="-","-",VLOOKUP($G29,CTBat!$G$10:$AN$89,BY$9,FALSE)-X29)</f>
        <v>0</v>
      </c>
      <c r="BZ29" s="91">
        <f>IF(Y29="-","-",VLOOKUP($G29,CTBat!$G$10:$AN$89,BZ$9,FALSE)-Y29)</f>
        <v>0</v>
      </c>
      <c r="CA29" s="91">
        <f>IF(Z29="-","-",VLOOKUP($G29,CTBat!$G$10:$AN$89,CA$9,FALSE)-Z29)</f>
        <v>0</v>
      </c>
      <c r="CB29" s="91">
        <f>IF(AA29="-","-",VLOOKUP($G29,CTBat!$G$10:$AN$89,CB$9,FALSE)-AA29)</f>
        <v>0</v>
      </c>
      <c r="CC29" s="91">
        <f>IF(AB29="-","-",VLOOKUP($G29,CTBat!$G$10:$AN$89,CC$9,FALSE)-AB29)</f>
        <v>0</v>
      </c>
      <c r="CD29" s="91">
        <f>IF(AC29="-","-",VLOOKUP($G29,CTBat!$G$10:$AN$89,CD$9,FALSE)-AC29)</f>
        <v>0</v>
      </c>
      <c r="CE29" s="91" t="str">
        <f>IF(AD29="-","-",VLOOKUP($G29,CTBat!$G$10:$AN$89,CE$9,FALSE)-AD29)</f>
        <v>-</v>
      </c>
      <c r="CF29" s="91">
        <f>IF(AE29="-","-",VLOOKUP($G29,CTBat!$G$10:$AN$89,CF$9,FALSE)-AE29)</f>
        <v>0</v>
      </c>
      <c r="CG29" s="91" t="str">
        <f>IF(AF29="-","-",VLOOKUP($G29,CTBat!$G$10:$AN$89,CG$9,FALSE)-AF29)</f>
        <v>-</v>
      </c>
      <c r="CH29" s="91">
        <f>IF(AG29="-","-",VLOOKUP($G29,CTBat!$G$10:$AN$89,CH$9,FALSE)-AG29)</f>
        <v>0</v>
      </c>
      <c r="CI29" s="91" t="str">
        <f>IF(AH29="-","-",VLOOKUP($G29,CTBat!$G$10:$AN$89,CI$9,FALSE)-AH29)</f>
        <v>-</v>
      </c>
      <c r="CJ29" s="91">
        <f>IF(AI29="-","-",VLOOKUP($G29,CTBat!$G$10:$AN$89,CJ$9,FALSE)-AI29)</f>
        <v>0</v>
      </c>
      <c r="CK29" s="91">
        <f>IF(AJ29="-","-",VLOOKUP($G29,CTBat!$G$10:$AN$89,CK$9,FALSE)-AJ29)</f>
        <v>0</v>
      </c>
      <c r="CL29" s="91">
        <f>IF(AK29="-","-",VLOOKUP($G29,CTBat!$G$10:$AN$89,CL$9,FALSE)-AK29)</f>
        <v>0</v>
      </c>
      <c r="CM29" s="91">
        <f>IF(AL29="-","-",VLOOKUP($G29,CTBat!$G$10:$AN$89,CM$9,FALSE)-AL29)</f>
        <v>0</v>
      </c>
      <c r="CN29" s="91">
        <f>IF(AM29="-","-",VLOOKUP($G29,CTBat!$G$10:$AN$89,CN$9,FALSE)-AM29)</f>
        <v>0</v>
      </c>
      <c r="CO29" s="91">
        <f>IF(AN29="-","-",VLOOKUP($G29,CTBat!$G$10:$AN$89,CO$9,FALSE)-AN29)</f>
        <v>0</v>
      </c>
      <c r="CP29" s="91">
        <f t="shared" si="43"/>
        <v>1</v>
      </c>
      <c r="CQ29" s="91">
        <f t="shared" si="44"/>
        <v>0</v>
      </c>
      <c r="CR29" s="91">
        <f t="shared" si="45"/>
        <v>0</v>
      </c>
      <c r="CS29" s="91">
        <f t="shared" si="46"/>
        <v>0</v>
      </c>
      <c r="CT29" s="91">
        <f t="shared" si="47"/>
        <v>1</v>
      </c>
    </row>
    <row r="30" spans="1:98">
      <c r="C30">
        <f t="shared" si="13"/>
        <v>1</v>
      </c>
      <c r="D30">
        <f t="shared" si="14"/>
        <v>1</v>
      </c>
      <c r="E30" t="str">
        <f t="shared" si="15"/>
        <v>K</v>
      </c>
      <c r="F30" t="s">
        <v>102</v>
      </c>
      <c r="G30" t="s">
        <v>497</v>
      </c>
      <c r="H30" t="s">
        <v>25</v>
      </c>
      <c r="I30" t="s">
        <v>212</v>
      </c>
      <c r="J30">
        <v>28</v>
      </c>
      <c r="K30" t="s">
        <v>106</v>
      </c>
      <c r="L30" t="s">
        <v>106</v>
      </c>
      <c r="M30" t="s">
        <v>48</v>
      </c>
      <c r="N30" s="242" t="s">
        <v>48</v>
      </c>
      <c r="O30" t="s">
        <v>230</v>
      </c>
      <c r="P30" s="242" t="s">
        <v>231</v>
      </c>
      <c r="Q30">
        <v>6</v>
      </c>
      <c r="R30">
        <v>7</v>
      </c>
      <c r="S30">
        <v>6</v>
      </c>
      <c r="T30">
        <v>8</v>
      </c>
      <c r="U30" s="242">
        <v>5</v>
      </c>
      <c r="V30">
        <v>6</v>
      </c>
      <c r="W30">
        <v>7</v>
      </c>
      <c r="X30">
        <v>6</v>
      </c>
      <c r="Y30">
        <v>8</v>
      </c>
      <c r="Z30" s="242">
        <v>5</v>
      </c>
      <c r="AA30">
        <v>1</v>
      </c>
      <c r="AB30">
        <v>9</v>
      </c>
      <c r="AC30">
        <v>1</v>
      </c>
      <c r="AD30" t="s">
        <v>41</v>
      </c>
      <c r="AE30" t="s">
        <v>41</v>
      </c>
      <c r="AF30" t="s">
        <v>41</v>
      </c>
      <c r="AG30" t="s">
        <v>41</v>
      </c>
      <c r="AH30" t="s">
        <v>41</v>
      </c>
      <c r="AI30">
        <v>7</v>
      </c>
      <c r="AJ30">
        <v>10</v>
      </c>
      <c r="AK30" s="242">
        <v>4</v>
      </c>
      <c r="AL30">
        <v>10</v>
      </c>
      <c r="AM30">
        <v>10</v>
      </c>
      <c r="AN30" s="242">
        <v>10</v>
      </c>
      <c r="AO30" s="85">
        <v>14700000</v>
      </c>
      <c r="AP30" s="242" t="s">
        <v>46</v>
      </c>
      <c r="AQ30" s="6">
        <f t="shared" si="16"/>
        <v>7.166666666666667</v>
      </c>
      <c r="AR30" s="9" t="str">
        <f t="shared" si="17"/>
        <v>GoodReg</v>
      </c>
      <c r="AS30" s="6">
        <f t="shared" si="18"/>
        <v>7.166666666666667</v>
      </c>
      <c r="AT30" s="6" t="str">
        <f t="shared" si="19"/>
        <v>GoodReg</v>
      </c>
      <c r="AU30" s="9">
        <f t="shared" si="20"/>
        <v>7.166666666666667</v>
      </c>
      <c r="AV30" s="9" t="str">
        <f t="shared" si="21"/>
        <v>GoodReg</v>
      </c>
      <c r="AW30" s="53">
        <f t="shared" si="22"/>
        <v>1</v>
      </c>
      <c r="AX30" s="241">
        <f t="shared" si="23"/>
        <v>1</v>
      </c>
      <c r="AY30" s="241">
        <f t="shared" si="24"/>
        <v>0</v>
      </c>
      <c r="AZ30" s="241">
        <f t="shared" si="25"/>
        <v>0</v>
      </c>
      <c r="BA30" s="241">
        <f t="shared" si="26"/>
        <v>0</v>
      </c>
      <c r="BB30" s="241">
        <f t="shared" si="27"/>
        <v>0</v>
      </c>
      <c r="BC30" s="241">
        <f t="shared" si="28"/>
        <v>1</v>
      </c>
      <c r="BD30" s="241">
        <f t="shared" si="29"/>
        <v>1</v>
      </c>
      <c r="BE30" s="242">
        <f t="shared" si="30"/>
        <v>1</v>
      </c>
      <c r="BF30" s="53">
        <f t="shared" si="31"/>
        <v>1</v>
      </c>
      <c r="BG30" s="241">
        <f t="shared" si="32"/>
        <v>1</v>
      </c>
      <c r="BH30" s="241">
        <f t="shared" si="33"/>
        <v>0</v>
      </c>
      <c r="BI30" s="241">
        <f t="shared" si="34"/>
        <v>0</v>
      </c>
      <c r="BJ30" s="241">
        <f t="shared" si="35"/>
        <v>0</v>
      </c>
      <c r="BK30" s="241">
        <f t="shared" si="36"/>
        <v>0</v>
      </c>
      <c r="BL30" s="241">
        <f t="shared" si="37"/>
        <v>1</v>
      </c>
      <c r="BM30" s="241">
        <f t="shared" si="38"/>
        <v>1</v>
      </c>
      <c r="BN30" s="242">
        <f t="shared" si="39"/>
        <v>1</v>
      </c>
      <c r="BO30" s="242">
        <f t="shared" si="40"/>
        <v>6</v>
      </c>
      <c r="BP30" s="7">
        <f t="shared" si="41"/>
        <v>2</v>
      </c>
      <c r="BQ30" t="str">
        <f t="shared" si="42"/>
        <v/>
      </c>
      <c r="BR30" s="91">
        <f>IF(Q30="-","-",VLOOKUP($G30,CTBat!$G$10:$AN$89,BR$9,FALSE)-Q30)</f>
        <v>0</v>
      </c>
      <c r="BS30" s="91">
        <f>IF(R30="-","-",VLOOKUP($G30,CTBat!$G$10:$AN$89,BS$9,FALSE)-R30)</f>
        <v>0</v>
      </c>
      <c r="BT30" s="91">
        <f>IF(S30="-","-",VLOOKUP($G30,CTBat!$G$10:$AN$89,BT$9,FALSE)-S30)</f>
        <v>0</v>
      </c>
      <c r="BU30" s="91">
        <f>IF(T30="-","-",VLOOKUP($G30,CTBat!$G$10:$AN$89,BU$9,FALSE)-T30)</f>
        <v>0</v>
      </c>
      <c r="BV30" s="91">
        <f>IF(U30="-","-",VLOOKUP($G30,CTBat!$G$10:$AN$89,BV$9,FALSE)-U30)</f>
        <v>0</v>
      </c>
      <c r="BW30" s="91">
        <f>IF(V30="-","-",VLOOKUP($G30,CTBat!$G$10:$AN$89,BW$9,FALSE)-V30)</f>
        <v>0</v>
      </c>
      <c r="BX30" s="91">
        <f>IF(W30="-","-",VLOOKUP($G30,CTBat!$G$10:$AN$89,BX$9,FALSE)-W30)</f>
        <v>0</v>
      </c>
      <c r="BY30" s="91">
        <f>IF(X30="-","-",VLOOKUP($G30,CTBat!$G$10:$AN$89,BY$9,FALSE)-X30)</f>
        <v>0</v>
      </c>
      <c r="BZ30" s="91">
        <f>IF(Y30="-","-",VLOOKUP($G30,CTBat!$G$10:$AN$89,BZ$9,FALSE)-Y30)</f>
        <v>0</v>
      </c>
      <c r="CA30" s="91">
        <f>IF(Z30="-","-",VLOOKUP($G30,CTBat!$G$10:$AN$89,CA$9,FALSE)-Z30)</f>
        <v>0</v>
      </c>
      <c r="CB30" s="91">
        <f>IF(AA30="-","-",VLOOKUP($G30,CTBat!$G$10:$AN$89,CB$9,FALSE)-AA30)</f>
        <v>0</v>
      </c>
      <c r="CC30" s="91">
        <f>IF(AB30="-","-",VLOOKUP($G30,CTBat!$G$10:$AN$89,CC$9,FALSE)-AB30)</f>
        <v>0</v>
      </c>
      <c r="CD30" s="91">
        <f>IF(AC30="-","-",VLOOKUP($G30,CTBat!$G$10:$AN$89,CD$9,FALSE)-AC30)</f>
        <v>0</v>
      </c>
      <c r="CE30" s="91" t="str">
        <f>IF(AD30="-","-",VLOOKUP($G30,CTBat!$G$10:$AN$89,CE$9,FALSE)-AD30)</f>
        <v>-</v>
      </c>
      <c r="CF30" s="91" t="str">
        <f>IF(AE30="-","-",VLOOKUP($G30,CTBat!$G$10:$AN$89,CF$9,FALSE)-AE30)</f>
        <v>-</v>
      </c>
      <c r="CG30" s="91" t="str">
        <f>IF(AF30="-","-",VLOOKUP($G30,CTBat!$G$10:$AN$89,CG$9,FALSE)-AF30)</f>
        <v>-</v>
      </c>
      <c r="CH30" s="91" t="str">
        <f>IF(AG30="-","-",VLOOKUP($G30,CTBat!$G$10:$AN$89,CH$9,FALSE)-AG30)</f>
        <v>-</v>
      </c>
      <c r="CI30" s="91" t="str">
        <f>IF(AH30="-","-",VLOOKUP($G30,CTBat!$G$10:$AN$89,CI$9,FALSE)-AH30)</f>
        <v>-</v>
      </c>
      <c r="CJ30" s="91">
        <f>IF(AI30="-","-",VLOOKUP($G30,CTBat!$G$10:$AN$89,CJ$9,FALSE)-AI30)</f>
        <v>1</v>
      </c>
      <c r="CK30" s="91">
        <f>IF(AJ30="-","-",VLOOKUP($G30,CTBat!$G$10:$AN$89,CK$9,FALSE)-AJ30)</f>
        <v>0</v>
      </c>
      <c r="CL30" s="91">
        <f>IF(AK30="-","-",VLOOKUP($G30,CTBat!$G$10:$AN$89,CL$9,FALSE)-AK30)</f>
        <v>0</v>
      </c>
      <c r="CM30" s="91">
        <f>IF(AL30="-","-",VLOOKUP($G30,CTBat!$G$10:$AN$89,CM$9,FALSE)-AL30)</f>
        <v>0</v>
      </c>
      <c r="CN30" s="91">
        <f>IF(AM30="-","-",VLOOKUP($G30,CTBat!$G$10:$AN$89,CN$9,FALSE)-AM30)</f>
        <v>0</v>
      </c>
      <c r="CO30" s="91">
        <f>IF(AN30="-","-",VLOOKUP($G30,CTBat!$G$10:$AN$89,CO$9,FALSE)-AN30)</f>
        <v>0</v>
      </c>
      <c r="CP30" s="91">
        <f t="shared" si="43"/>
        <v>0</v>
      </c>
      <c r="CQ30" s="91">
        <f t="shared" si="44"/>
        <v>0</v>
      </c>
      <c r="CR30" s="91">
        <f t="shared" si="45"/>
        <v>1</v>
      </c>
      <c r="CS30" s="91">
        <f t="shared" si="46"/>
        <v>0</v>
      </c>
      <c r="CT30" s="91">
        <f t="shared" si="47"/>
        <v>1</v>
      </c>
    </row>
    <row r="31" spans="1:98">
      <c r="C31">
        <f t="shared" si="13"/>
        <v>7</v>
      </c>
      <c r="D31" t="str">
        <f t="shared" si="14"/>
        <v>-</v>
      </c>
      <c r="E31" t="str">
        <f t="shared" si="15"/>
        <v>K</v>
      </c>
      <c r="F31" t="s">
        <v>101</v>
      </c>
      <c r="G31" t="s">
        <v>396</v>
      </c>
      <c r="H31" t="s">
        <v>385</v>
      </c>
      <c r="I31" t="s">
        <v>214</v>
      </c>
      <c r="J31">
        <v>24</v>
      </c>
      <c r="K31" t="s">
        <v>107</v>
      </c>
      <c r="L31" t="s">
        <v>107</v>
      </c>
      <c r="M31" t="s">
        <v>47</v>
      </c>
      <c r="N31" s="216" t="s">
        <v>42</v>
      </c>
      <c r="O31" t="s">
        <v>229</v>
      </c>
      <c r="P31" s="216" t="s">
        <v>230</v>
      </c>
      <c r="Q31">
        <v>4</v>
      </c>
      <c r="R31">
        <v>4</v>
      </c>
      <c r="S31">
        <v>6</v>
      </c>
      <c r="T31">
        <v>4</v>
      </c>
      <c r="U31" s="216">
        <v>3</v>
      </c>
      <c r="V31">
        <v>5</v>
      </c>
      <c r="W31">
        <v>5</v>
      </c>
      <c r="X31">
        <v>8</v>
      </c>
      <c r="Y31">
        <v>6</v>
      </c>
      <c r="Z31" s="216">
        <v>4</v>
      </c>
      <c r="AA31">
        <v>1</v>
      </c>
      <c r="AB31">
        <v>8</v>
      </c>
      <c r="AC31">
        <v>1</v>
      </c>
      <c r="AD31" t="s">
        <v>41</v>
      </c>
      <c r="AE31" t="s">
        <v>41</v>
      </c>
      <c r="AF31" t="s">
        <v>41</v>
      </c>
      <c r="AG31" t="s">
        <v>41</v>
      </c>
      <c r="AH31" t="s">
        <v>41</v>
      </c>
      <c r="AI31">
        <v>10</v>
      </c>
      <c r="AJ31">
        <v>7</v>
      </c>
      <c r="AK31" s="216">
        <v>8</v>
      </c>
      <c r="AL31">
        <v>9</v>
      </c>
      <c r="AM31">
        <v>9</v>
      </c>
      <c r="AN31" s="216">
        <v>8</v>
      </c>
      <c r="AO31" s="85" t="s">
        <v>41</v>
      </c>
      <c r="AP31" s="216">
        <v>0</v>
      </c>
      <c r="AQ31" s="6">
        <f t="shared" si="16"/>
        <v>3.666666666666667</v>
      </c>
      <c r="AR31" s="9" t="str">
        <f t="shared" si="17"/>
        <v>Minors</v>
      </c>
      <c r="AS31" s="6">
        <f t="shared" si="18"/>
        <v>6.083333333333333</v>
      </c>
      <c r="AT31" s="6" t="str">
        <f t="shared" si="19"/>
        <v>Reg</v>
      </c>
      <c r="AU31" s="9">
        <f t="shared" si="20"/>
        <v>4.666666666666667</v>
      </c>
      <c r="AV31" s="9" t="str">
        <f t="shared" si="21"/>
        <v>Bench</v>
      </c>
      <c r="AW31" s="53">
        <f t="shared" si="22"/>
        <v>0</v>
      </c>
      <c r="AX31" s="215">
        <f t="shared" si="23"/>
        <v>0</v>
      </c>
      <c r="AY31" s="215">
        <f t="shared" si="24"/>
        <v>0</v>
      </c>
      <c r="AZ31" s="215">
        <f t="shared" si="25"/>
        <v>0</v>
      </c>
      <c r="BA31" s="215">
        <f t="shared" si="26"/>
        <v>0</v>
      </c>
      <c r="BB31" s="215">
        <f t="shared" si="27"/>
        <v>0</v>
      </c>
      <c r="BC31" s="215">
        <f t="shared" si="28"/>
        <v>0</v>
      </c>
      <c r="BD31" s="215">
        <f t="shared" si="29"/>
        <v>0</v>
      </c>
      <c r="BE31" s="216">
        <f t="shared" si="30"/>
        <v>0</v>
      </c>
      <c r="BF31" s="53">
        <f t="shared" si="31"/>
        <v>0</v>
      </c>
      <c r="BG31" s="215">
        <f t="shared" si="32"/>
        <v>0</v>
      </c>
      <c r="BH31" s="215">
        <f t="shared" si="33"/>
        <v>0</v>
      </c>
      <c r="BI31" s="215">
        <f t="shared" si="34"/>
        <v>0</v>
      </c>
      <c r="BJ31" s="215">
        <f t="shared" si="35"/>
        <v>0</v>
      </c>
      <c r="BK31" s="215">
        <f t="shared" si="36"/>
        <v>0</v>
      </c>
      <c r="BL31" s="215">
        <f t="shared" si="37"/>
        <v>1</v>
      </c>
      <c r="BM31" s="215">
        <f t="shared" si="38"/>
        <v>1</v>
      </c>
      <c r="BN31" s="216">
        <f t="shared" si="39"/>
        <v>1</v>
      </c>
      <c r="BO31" s="216">
        <f t="shared" si="40"/>
        <v>4</v>
      </c>
      <c r="BP31" s="7">
        <f t="shared" si="41"/>
        <v>2</v>
      </c>
      <c r="BQ31" t="str">
        <f t="shared" si="42"/>
        <v/>
      </c>
      <c r="BR31" s="91">
        <f>IF(Q31="-","-",VLOOKUP($G31,CTBat!$G$10:$AN$89,BR$9,FALSE)-Q31)</f>
        <v>1</v>
      </c>
      <c r="BS31" s="91">
        <f>IF(R31="-","-",VLOOKUP($G31,CTBat!$G$10:$AN$89,BS$9,FALSE)-R31)</f>
        <v>0</v>
      </c>
      <c r="BT31" s="91">
        <f>IF(S31="-","-",VLOOKUP($G31,CTBat!$G$10:$AN$89,BT$9,FALSE)-S31)</f>
        <v>0</v>
      </c>
      <c r="BU31" s="91">
        <f>IF(T31="-","-",VLOOKUP($G31,CTBat!$G$10:$AN$89,BU$9,FALSE)-T31)</f>
        <v>0</v>
      </c>
      <c r="BV31" s="91">
        <f>IF(U31="-","-",VLOOKUP($G31,CTBat!$G$10:$AN$89,BV$9,FALSE)-U31)</f>
        <v>0</v>
      </c>
      <c r="BW31" s="91">
        <f>IF(V31="-","-",VLOOKUP($G31,CTBat!$G$10:$AN$89,BW$9,FALSE)-V31)</f>
        <v>0</v>
      </c>
      <c r="BX31" s="91">
        <f>IF(W31="-","-",VLOOKUP($G31,CTBat!$G$10:$AN$89,BX$9,FALSE)-W31)</f>
        <v>0</v>
      </c>
      <c r="BY31" s="91">
        <f>IF(X31="-","-",VLOOKUP($G31,CTBat!$G$10:$AN$89,BY$9,FALSE)-X31)</f>
        <v>0</v>
      </c>
      <c r="BZ31" s="91">
        <f>IF(Y31="-","-",VLOOKUP($G31,CTBat!$G$10:$AN$89,BZ$9,FALSE)-Y31)</f>
        <v>0</v>
      </c>
      <c r="CA31" s="91">
        <f>IF(Z31="-","-",VLOOKUP($G31,CTBat!$G$10:$AN$89,CA$9,FALSE)-Z31)</f>
        <v>0</v>
      </c>
      <c r="CB31" s="91">
        <f>IF(AA31="-","-",VLOOKUP($G31,CTBat!$G$10:$AN$89,CB$9,FALSE)-AA31)</f>
        <v>0</v>
      </c>
      <c r="CC31" s="91">
        <f>IF(AB31="-","-",VLOOKUP($G31,CTBat!$G$10:$AN$89,CC$9,FALSE)-AB31)</f>
        <v>0</v>
      </c>
      <c r="CD31" s="91">
        <f>IF(AC31="-","-",VLOOKUP($G31,CTBat!$G$10:$AN$89,CD$9,FALSE)-AC31)</f>
        <v>0</v>
      </c>
      <c r="CE31" s="91" t="str">
        <f>IF(AD31="-","-",VLOOKUP($G31,CTBat!$G$10:$AN$89,CE$9,FALSE)-AD31)</f>
        <v>-</v>
      </c>
      <c r="CF31" s="91" t="str">
        <f>IF(AE31="-","-",VLOOKUP($G31,CTBat!$G$10:$AN$89,CF$9,FALSE)-AE31)</f>
        <v>-</v>
      </c>
      <c r="CG31" s="91" t="str">
        <f>IF(AF31="-","-",VLOOKUP($G31,CTBat!$G$10:$AN$89,CG$9,FALSE)-AF31)</f>
        <v>-</v>
      </c>
      <c r="CH31" s="91" t="str">
        <f>IF(AG31="-","-",VLOOKUP($G31,CTBat!$G$10:$AN$89,CH$9,FALSE)-AG31)</f>
        <v>-</v>
      </c>
      <c r="CI31" s="91" t="str">
        <f>IF(AH31="-","-",VLOOKUP($G31,CTBat!$G$10:$AN$89,CI$9,FALSE)-AH31)</f>
        <v>-</v>
      </c>
      <c r="CJ31" s="91">
        <f>IF(AI31="-","-",VLOOKUP($G31,CTBat!$G$10:$AN$89,CJ$9,FALSE)-AI31)</f>
        <v>0</v>
      </c>
      <c r="CK31" s="91">
        <f>IF(AJ31="-","-",VLOOKUP($G31,CTBat!$G$10:$AN$89,CK$9,FALSE)-AJ31)</f>
        <v>0</v>
      </c>
      <c r="CL31" s="91">
        <f>IF(AK31="-","-",VLOOKUP($G31,CTBat!$G$10:$AN$89,CL$9,FALSE)-AK31)</f>
        <v>0</v>
      </c>
      <c r="CM31" s="91">
        <f>IF(AL31="-","-",VLOOKUP($G31,CTBat!$G$10:$AN$89,CM$9,FALSE)-AL31)</f>
        <v>0</v>
      </c>
      <c r="CN31" s="91">
        <f>IF(AM31="-","-",VLOOKUP($G31,CTBat!$G$10:$AN$89,CN$9,FALSE)-AM31)</f>
        <v>0</v>
      </c>
      <c r="CO31" s="91">
        <f>IF(AN31="-","-",VLOOKUP($G31,CTBat!$G$10:$AN$89,CO$9,FALSE)-AN31)</f>
        <v>0</v>
      </c>
      <c r="CP31" s="91">
        <f t="shared" si="43"/>
        <v>1</v>
      </c>
      <c r="CQ31" s="91">
        <f t="shared" si="44"/>
        <v>0</v>
      </c>
      <c r="CR31" s="91">
        <f t="shared" si="45"/>
        <v>0</v>
      </c>
      <c r="CS31" s="91">
        <f t="shared" si="46"/>
        <v>0</v>
      </c>
      <c r="CT31" s="91">
        <f t="shared" si="47"/>
        <v>1</v>
      </c>
    </row>
    <row r="32" spans="1:98">
      <c r="C32">
        <f t="shared" si="13"/>
        <v>7</v>
      </c>
      <c r="D32">
        <f t="shared" si="14"/>
        <v>7</v>
      </c>
      <c r="E32" t="str">
        <f t="shared" si="15"/>
        <v>K</v>
      </c>
      <c r="F32" t="s">
        <v>102</v>
      </c>
      <c r="G32" t="s">
        <v>54</v>
      </c>
      <c r="H32" t="s">
        <v>384</v>
      </c>
      <c r="I32" t="s">
        <v>213</v>
      </c>
      <c r="J32">
        <v>27</v>
      </c>
      <c r="K32" t="s">
        <v>107</v>
      </c>
      <c r="L32" t="s">
        <v>107</v>
      </c>
      <c r="M32" t="s">
        <v>47</v>
      </c>
      <c r="N32" s="3" t="s">
        <v>47</v>
      </c>
      <c r="O32" t="s">
        <v>228</v>
      </c>
      <c r="P32" s="3" t="s">
        <v>230</v>
      </c>
      <c r="Q32">
        <v>5</v>
      </c>
      <c r="R32">
        <v>8</v>
      </c>
      <c r="S32">
        <v>7</v>
      </c>
      <c r="T32">
        <v>5</v>
      </c>
      <c r="U32" s="3">
        <v>4</v>
      </c>
      <c r="V32">
        <v>5</v>
      </c>
      <c r="W32">
        <v>8</v>
      </c>
      <c r="X32">
        <v>7</v>
      </c>
      <c r="Y32">
        <v>6</v>
      </c>
      <c r="Z32" s="3">
        <v>4</v>
      </c>
      <c r="AA32">
        <v>1</v>
      </c>
      <c r="AB32">
        <v>10</v>
      </c>
      <c r="AC32">
        <v>1</v>
      </c>
      <c r="AD32" t="s">
        <v>41</v>
      </c>
      <c r="AE32" t="s">
        <v>41</v>
      </c>
      <c r="AF32" t="s">
        <v>41</v>
      </c>
      <c r="AG32" t="s">
        <v>41</v>
      </c>
      <c r="AH32" t="s">
        <v>41</v>
      </c>
      <c r="AI32">
        <v>10</v>
      </c>
      <c r="AJ32">
        <v>6</v>
      </c>
      <c r="AK32" s="3">
        <v>5</v>
      </c>
      <c r="AL32">
        <v>8</v>
      </c>
      <c r="AM32">
        <v>8</v>
      </c>
      <c r="AN32" s="3">
        <v>7</v>
      </c>
      <c r="AO32" s="85" t="s">
        <v>41</v>
      </c>
      <c r="AP32" s="3">
        <v>0</v>
      </c>
      <c r="AQ32" s="6">
        <f t="shared" si="16"/>
        <v>5.166666666666667</v>
      </c>
      <c r="AR32" s="9" t="str">
        <f t="shared" si="17"/>
        <v>Reg</v>
      </c>
      <c r="AS32" s="6">
        <f t="shared" si="18"/>
        <v>5.5</v>
      </c>
      <c r="AT32" s="6" t="str">
        <f t="shared" si="19"/>
        <v>Reg</v>
      </c>
      <c r="AU32" s="9">
        <f t="shared" si="20"/>
        <v>5.166666666666667</v>
      </c>
      <c r="AV32" s="9" t="str">
        <f t="shared" si="21"/>
        <v>Reg</v>
      </c>
      <c r="AW32" s="53">
        <f t="shared" si="22"/>
        <v>0</v>
      </c>
      <c r="AX32" s="5">
        <f t="shared" si="23"/>
        <v>0</v>
      </c>
      <c r="AY32" s="5">
        <f t="shared" si="24"/>
        <v>0</v>
      </c>
      <c r="AZ32" s="5">
        <f t="shared" si="25"/>
        <v>0</v>
      </c>
      <c r="BA32" s="5">
        <f t="shared" si="26"/>
        <v>0</v>
      </c>
      <c r="BB32" s="5">
        <f t="shared" si="27"/>
        <v>0</v>
      </c>
      <c r="BC32" s="5">
        <f t="shared" si="28"/>
        <v>1</v>
      </c>
      <c r="BD32" s="5">
        <f t="shared" si="29"/>
        <v>1</v>
      </c>
      <c r="BE32" s="3">
        <f t="shared" si="30"/>
        <v>1</v>
      </c>
      <c r="BF32" s="53">
        <f t="shared" si="31"/>
        <v>0</v>
      </c>
      <c r="BG32" s="5">
        <f t="shared" si="32"/>
        <v>0</v>
      </c>
      <c r="BH32" s="5">
        <f t="shared" si="33"/>
        <v>0</v>
      </c>
      <c r="BI32" s="5">
        <f t="shared" si="34"/>
        <v>0</v>
      </c>
      <c r="BJ32" s="5">
        <f t="shared" si="35"/>
        <v>0</v>
      </c>
      <c r="BK32" s="5">
        <f t="shared" si="36"/>
        <v>0</v>
      </c>
      <c r="BL32" s="5">
        <f t="shared" si="37"/>
        <v>1</v>
      </c>
      <c r="BM32" s="5">
        <f t="shared" si="38"/>
        <v>1</v>
      </c>
      <c r="BN32" s="3">
        <f t="shared" si="39"/>
        <v>1</v>
      </c>
      <c r="BO32" s="3">
        <f t="shared" si="40"/>
        <v>4</v>
      </c>
      <c r="BP32" s="7">
        <f t="shared" si="41"/>
        <v>2</v>
      </c>
      <c r="BQ32" t="str">
        <f t="shared" si="42"/>
        <v/>
      </c>
      <c r="BR32" s="91">
        <f>IF(Q32="-","-",VLOOKUP($G32,CTBat!$G$10:$AN$89,BR$9,FALSE)-Q32)</f>
        <v>0</v>
      </c>
      <c r="BS32" s="91">
        <f>IF(R32="-","-",VLOOKUP($G32,CTBat!$G$10:$AN$89,BS$9,FALSE)-R32)</f>
        <v>0</v>
      </c>
      <c r="BT32" s="91">
        <f>IF(S32="-","-",VLOOKUP($G32,CTBat!$G$10:$AN$89,BT$9,FALSE)-S32)</f>
        <v>0</v>
      </c>
      <c r="BU32" s="91">
        <f>IF(T32="-","-",VLOOKUP($G32,CTBat!$G$10:$AN$89,BU$9,FALSE)-T32)</f>
        <v>0</v>
      </c>
      <c r="BV32" s="91">
        <f>IF(U32="-","-",VLOOKUP($G32,CTBat!$G$10:$AN$89,BV$9,FALSE)-U32)</f>
        <v>0</v>
      </c>
      <c r="BW32" s="91">
        <f>IF(V32="-","-",VLOOKUP($G32,CTBat!$G$10:$AN$89,BW$9,FALSE)-V32)</f>
        <v>0</v>
      </c>
      <c r="BX32" s="91">
        <f>IF(W32="-","-",VLOOKUP($G32,CTBat!$G$10:$AN$89,BX$9,FALSE)-W32)</f>
        <v>0</v>
      </c>
      <c r="BY32" s="91">
        <f>IF(X32="-","-",VLOOKUP($G32,CTBat!$G$10:$AN$89,BY$9,FALSE)-X32)</f>
        <v>0</v>
      </c>
      <c r="BZ32" s="91">
        <f>IF(Y32="-","-",VLOOKUP($G32,CTBat!$G$10:$AN$89,BZ$9,FALSE)-Y32)</f>
        <v>0</v>
      </c>
      <c r="CA32" s="91">
        <f>IF(Z32="-","-",VLOOKUP($G32,CTBat!$G$10:$AN$89,CA$9,FALSE)-Z32)</f>
        <v>0</v>
      </c>
      <c r="CB32" s="91">
        <f>IF(AA32="-","-",VLOOKUP($G32,CTBat!$G$10:$AN$89,CB$9,FALSE)-AA32)</f>
        <v>0</v>
      </c>
      <c r="CC32" s="91">
        <f>IF(AB32="-","-",VLOOKUP($G32,CTBat!$G$10:$AN$89,CC$9,FALSE)-AB32)</f>
        <v>0</v>
      </c>
      <c r="CD32" s="91">
        <f>IF(AC32="-","-",VLOOKUP($G32,CTBat!$G$10:$AN$89,CD$9,FALSE)-AC32)</f>
        <v>0</v>
      </c>
      <c r="CE32" s="91" t="str">
        <f>IF(AD32="-","-",VLOOKUP($G32,CTBat!$G$10:$AN$89,CE$9,FALSE)-AD32)</f>
        <v>-</v>
      </c>
      <c r="CF32" s="91" t="str">
        <f>IF(AE32="-","-",VLOOKUP($G32,CTBat!$G$10:$AN$89,CF$9,FALSE)-AE32)</f>
        <v>-</v>
      </c>
      <c r="CG32" s="91" t="str">
        <f>IF(AF32="-","-",VLOOKUP($G32,CTBat!$G$10:$AN$89,CG$9,FALSE)-AF32)</f>
        <v>-</v>
      </c>
      <c r="CH32" s="91" t="str">
        <f>IF(AG32="-","-",VLOOKUP($G32,CTBat!$G$10:$AN$89,CH$9,FALSE)-AG32)</f>
        <v>-</v>
      </c>
      <c r="CI32" s="91" t="str">
        <f>IF(AH32="-","-",VLOOKUP($G32,CTBat!$G$10:$AN$89,CI$9,FALSE)-AH32)</f>
        <v>-</v>
      </c>
      <c r="CJ32" s="91">
        <f>IF(AI32="-","-",VLOOKUP($G32,CTBat!$G$10:$AN$89,CJ$9,FALSE)-AI32)</f>
        <v>0</v>
      </c>
      <c r="CK32" s="91">
        <f>IF(AJ32="-","-",VLOOKUP($G32,CTBat!$G$10:$AN$89,CK$9,FALSE)-AJ32)</f>
        <v>0</v>
      </c>
      <c r="CL32" s="91">
        <f>IF(AK32="-","-",VLOOKUP($G32,CTBat!$G$10:$AN$89,CL$9,FALSE)-AK32)</f>
        <v>0</v>
      </c>
      <c r="CM32" s="91">
        <f>IF(AL32="-","-",VLOOKUP($G32,CTBat!$G$10:$AN$89,CM$9,FALSE)-AL32)</f>
        <v>0</v>
      </c>
      <c r="CN32" s="91">
        <f>IF(AM32="-","-",VLOOKUP($G32,CTBat!$G$10:$AN$89,CN$9,FALSE)-AM32)</f>
        <v>1</v>
      </c>
      <c r="CO32" s="91">
        <f>IF(AN32="-","-",VLOOKUP($G32,CTBat!$G$10:$AN$89,CO$9,FALSE)-AN32)</f>
        <v>0</v>
      </c>
      <c r="CP32" s="91">
        <f t="shared" si="43"/>
        <v>0</v>
      </c>
      <c r="CQ32" s="91">
        <f t="shared" si="44"/>
        <v>0</v>
      </c>
      <c r="CR32" s="91">
        <f t="shared" si="45"/>
        <v>0</v>
      </c>
      <c r="CS32" s="91">
        <f t="shared" si="46"/>
        <v>1</v>
      </c>
      <c r="CT32" s="91">
        <f t="shared" si="47"/>
        <v>1</v>
      </c>
    </row>
    <row r="33" spans="1:98">
      <c r="C33">
        <f t="shared" si="13"/>
        <v>8</v>
      </c>
      <c r="D33" t="str">
        <f t="shared" si="14"/>
        <v>-</v>
      </c>
      <c r="E33" t="str">
        <f t="shared" si="15"/>
        <v>K</v>
      </c>
      <c r="F33" t="s">
        <v>103</v>
      </c>
      <c r="G33" t="s">
        <v>503</v>
      </c>
      <c r="H33" t="s">
        <v>383</v>
      </c>
      <c r="I33" t="s">
        <v>327</v>
      </c>
      <c r="J33">
        <v>19</v>
      </c>
      <c r="K33" t="s">
        <v>106</v>
      </c>
      <c r="L33" t="s">
        <v>106</v>
      </c>
      <c r="M33" t="s">
        <v>47</v>
      </c>
      <c r="N33" s="269" t="s">
        <v>47</v>
      </c>
      <c r="O33" t="s">
        <v>231</v>
      </c>
      <c r="P33" s="269" t="s">
        <v>230</v>
      </c>
      <c r="Q33">
        <v>2</v>
      </c>
      <c r="R33">
        <v>2</v>
      </c>
      <c r="S33">
        <v>1</v>
      </c>
      <c r="T33">
        <v>1</v>
      </c>
      <c r="U33" s="269">
        <v>2</v>
      </c>
      <c r="V33">
        <v>5</v>
      </c>
      <c r="W33">
        <v>7</v>
      </c>
      <c r="X33">
        <v>4</v>
      </c>
      <c r="Y33">
        <v>5</v>
      </c>
      <c r="Z33" s="269">
        <v>4</v>
      </c>
      <c r="AA33">
        <v>1</v>
      </c>
      <c r="AB33">
        <v>7</v>
      </c>
      <c r="AC33">
        <v>1</v>
      </c>
      <c r="AD33" t="s">
        <v>41</v>
      </c>
      <c r="AE33" t="s">
        <v>41</v>
      </c>
      <c r="AF33" t="s">
        <v>41</v>
      </c>
      <c r="AG33" t="s">
        <v>41</v>
      </c>
      <c r="AH33" t="s">
        <v>41</v>
      </c>
      <c r="AI33">
        <v>1</v>
      </c>
      <c r="AJ33" t="s">
        <v>41</v>
      </c>
      <c r="AK33" s="269">
        <v>2</v>
      </c>
      <c r="AL33">
        <v>10</v>
      </c>
      <c r="AM33">
        <v>10</v>
      </c>
      <c r="AN33" s="269">
        <v>10</v>
      </c>
      <c r="AO33" s="85" t="s">
        <v>41</v>
      </c>
      <c r="AP33" s="269">
        <v>0</v>
      </c>
      <c r="AQ33" s="6">
        <f t="shared" si="16"/>
        <v>-0.66666666666666674</v>
      </c>
      <c r="AR33" s="9" t="str">
        <f t="shared" si="17"/>
        <v>Minors</v>
      </c>
      <c r="AS33" s="6">
        <f t="shared" si="18"/>
        <v>4.166666666666667</v>
      </c>
      <c r="AT33" s="6" t="str">
        <f t="shared" si="19"/>
        <v>Bench</v>
      </c>
      <c r="AU33" s="9">
        <f t="shared" si="20"/>
        <v>4.166666666666667</v>
      </c>
      <c r="AV33" s="9" t="str">
        <f t="shared" si="21"/>
        <v>Bench</v>
      </c>
      <c r="AW33" s="53">
        <f t="shared" si="22"/>
        <v>0</v>
      </c>
      <c r="AX33" s="268">
        <f t="shared" si="23"/>
        <v>0</v>
      </c>
      <c r="AY33" s="268">
        <f t="shared" si="24"/>
        <v>0</v>
      </c>
      <c r="AZ33" s="268">
        <f t="shared" si="25"/>
        <v>0</v>
      </c>
      <c r="BA33" s="268">
        <f t="shared" si="26"/>
        <v>0</v>
      </c>
      <c r="BB33" s="268">
        <f t="shared" si="27"/>
        <v>0</v>
      </c>
      <c r="BC33" s="268">
        <f t="shared" si="28"/>
        <v>0</v>
      </c>
      <c r="BD33" s="268">
        <f t="shared" si="29"/>
        <v>0</v>
      </c>
      <c r="BE33" s="269">
        <f t="shared" si="30"/>
        <v>0</v>
      </c>
      <c r="BF33" s="53">
        <f t="shared" si="31"/>
        <v>0</v>
      </c>
      <c r="BG33" s="268">
        <f t="shared" si="32"/>
        <v>0</v>
      </c>
      <c r="BH33" s="268">
        <f t="shared" si="33"/>
        <v>0</v>
      </c>
      <c r="BI33" s="268">
        <f t="shared" si="34"/>
        <v>0</v>
      </c>
      <c r="BJ33" s="268">
        <f t="shared" si="35"/>
        <v>0</v>
      </c>
      <c r="BK33" s="268">
        <f t="shared" si="36"/>
        <v>0</v>
      </c>
      <c r="BL33" s="268">
        <f t="shared" si="37"/>
        <v>0</v>
      </c>
      <c r="BM33" s="268">
        <f t="shared" si="38"/>
        <v>1</v>
      </c>
      <c r="BN33" s="269">
        <f t="shared" si="39"/>
        <v>1</v>
      </c>
      <c r="BO33" s="269">
        <f t="shared" si="40"/>
        <v>6</v>
      </c>
      <c r="BP33" s="7">
        <f t="shared" si="41"/>
        <v>0</v>
      </c>
      <c r="BQ33" t="str">
        <f t="shared" si="42"/>
        <v/>
      </c>
      <c r="BR33" s="91">
        <f>IF(Q33="-","-",VLOOKUP($G33,CTBat!$G$10:$AN$89,BR$9,FALSE)-Q33)</f>
        <v>0</v>
      </c>
      <c r="BS33" s="91">
        <f>IF(R33="-","-",VLOOKUP($G33,CTBat!$G$10:$AN$89,BS$9,FALSE)-R33)</f>
        <v>1</v>
      </c>
      <c r="BT33" s="91">
        <f>IF(S33="-","-",VLOOKUP($G33,CTBat!$G$10:$AN$89,BT$9,FALSE)-S33)</f>
        <v>0</v>
      </c>
      <c r="BU33" s="91">
        <f>IF(T33="-","-",VLOOKUP($G33,CTBat!$G$10:$AN$89,BU$9,FALSE)-T33)</f>
        <v>0</v>
      </c>
      <c r="BV33" s="91">
        <f>IF(U33="-","-",VLOOKUP($G33,CTBat!$G$10:$AN$89,BV$9,FALSE)-U33)</f>
        <v>0</v>
      </c>
      <c r="BW33" s="91">
        <f>IF(V33="-","-",VLOOKUP($G33,CTBat!$G$10:$AN$89,BW$9,FALSE)-V33)</f>
        <v>0</v>
      </c>
      <c r="BX33" s="91">
        <f>IF(W33="-","-",VLOOKUP($G33,CTBat!$G$10:$AN$89,BX$9,FALSE)-W33)</f>
        <v>0</v>
      </c>
      <c r="BY33" s="91">
        <f>IF(X33="-","-",VLOOKUP($G33,CTBat!$G$10:$AN$89,BY$9,FALSE)-X33)</f>
        <v>0</v>
      </c>
      <c r="BZ33" s="91">
        <f>IF(Y33="-","-",VLOOKUP($G33,CTBat!$G$10:$AN$89,BZ$9,FALSE)-Y33)</f>
        <v>0</v>
      </c>
      <c r="CA33" s="91">
        <f>IF(Z33="-","-",VLOOKUP($G33,CTBat!$G$10:$AN$89,CA$9,FALSE)-Z33)</f>
        <v>0</v>
      </c>
      <c r="CB33" s="91">
        <f>IF(AA33="-","-",VLOOKUP($G33,CTBat!$G$10:$AN$89,CB$9,FALSE)-AA33)</f>
        <v>0</v>
      </c>
      <c r="CC33" s="91">
        <f>IF(AB33="-","-",VLOOKUP($G33,CTBat!$G$10:$AN$89,CC$9,FALSE)-AB33)</f>
        <v>0</v>
      </c>
      <c r="CD33" s="91">
        <f>IF(AC33="-","-",VLOOKUP($G33,CTBat!$G$10:$AN$89,CD$9,FALSE)-AC33)</f>
        <v>0</v>
      </c>
      <c r="CE33" s="91" t="str">
        <f>IF(AD33="-","-",VLOOKUP($G33,CTBat!$G$10:$AN$89,CE$9,FALSE)-AD33)</f>
        <v>-</v>
      </c>
      <c r="CF33" s="91" t="str">
        <f>IF(AE33="-","-",VLOOKUP($G33,CTBat!$G$10:$AN$89,CF$9,FALSE)-AE33)</f>
        <v>-</v>
      </c>
      <c r="CG33" s="91" t="str">
        <f>IF(AF33="-","-",VLOOKUP($G33,CTBat!$G$10:$AN$89,CG$9,FALSE)-AF33)</f>
        <v>-</v>
      </c>
      <c r="CH33" s="91" t="str">
        <f>IF(AG33="-","-",VLOOKUP($G33,CTBat!$G$10:$AN$89,CH$9,FALSE)-AG33)</f>
        <v>-</v>
      </c>
      <c r="CI33" s="91" t="str">
        <f>IF(AH33="-","-",VLOOKUP($G33,CTBat!$G$10:$AN$89,CI$9,FALSE)-AH33)</f>
        <v>-</v>
      </c>
      <c r="CJ33" s="91">
        <f>IF(AI33="-","-",VLOOKUP($G33,CTBat!$G$10:$AN$89,CJ$9,FALSE)-AI33)</f>
        <v>0</v>
      </c>
      <c r="CK33" s="91" t="str">
        <f>IF(AJ33="-","-",VLOOKUP($G33,CTBat!$G$10:$AN$89,CK$9,FALSE)-AJ33)</f>
        <v>-</v>
      </c>
      <c r="CL33" s="91">
        <f>IF(AK33="-","-",VLOOKUP($G33,CTBat!$G$10:$AN$89,CL$9,FALSE)-AK33)</f>
        <v>0</v>
      </c>
      <c r="CM33" s="91">
        <f>IF(AL33="-","-",VLOOKUP($G33,CTBat!$G$10:$AN$89,CM$9,FALSE)-AL33)</f>
        <v>0</v>
      </c>
      <c r="CN33" s="91">
        <f>IF(AM33="-","-",VLOOKUP($G33,CTBat!$G$10:$AN$89,CN$9,FALSE)-AM33)</f>
        <v>0</v>
      </c>
      <c r="CO33" s="91">
        <f>IF(AN33="-","-",VLOOKUP($G33,CTBat!$G$10:$AN$89,CO$9,FALSE)-AN33)</f>
        <v>0</v>
      </c>
      <c r="CP33" s="91">
        <f t="shared" si="43"/>
        <v>1</v>
      </c>
      <c r="CQ33" s="91">
        <f t="shared" si="44"/>
        <v>0</v>
      </c>
      <c r="CR33" s="91">
        <f t="shared" si="45"/>
        <v>0</v>
      </c>
      <c r="CS33" s="91">
        <f t="shared" si="46"/>
        <v>0</v>
      </c>
      <c r="CT33" s="91">
        <f t="shared" si="47"/>
        <v>1</v>
      </c>
    </row>
    <row r="34" spans="1:98">
      <c r="C34" t="str">
        <f t="shared" si="13"/>
        <v>-</v>
      </c>
      <c r="D34" t="str">
        <f t="shared" si="14"/>
        <v>-</v>
      </c>
      <c r="E34" t="str">
        <f t="shared" si="15"/>
        <v>K</v>
      </c>
      <c r="F34" t="s">
        <v>97</v>
      </c>
      <c r="G34" t="s">
        <v>551</v>
      </c>
      <c r="H34" t="s">
        <v>386</v>
      </c>
      <c r="I34" t="s">
        <v>215</v>
      </c>
      <c r="J34">
        <v>19</v>
      </c>
      <c r="K34" t="s">
        <v>107</v>
      </c>
      <c r="L34" t="s">
        <v>107</v>
      </c>
      <c r="M34" t="s">
        <v>47</v>
      </c>
      <c r="N34" s="3" t="s">
        <v>47</v>
      </c>
      <c r="O34" t="s">
        <v>231</v>
      </c>
      <c r="P34" s="3" t="s">
        <v>229</v>
      </c>
      <c r="Q34">
        <v>1</v>
      </c>
      <c r="R34">
        <v>1</v>
      </c>
      <c r="S34">
        <v>1</v>
      </c>
      <c r="T34">
        <v>1</v>
      </c>
      <c r="U34" s="3">
        <v>1</v>
      </c>
      <c r="V34">
        <v>4</v>
      </c>
      <c r="W34">
        <v>6</v>
      </c>
      <c r="X34">
        <v>3</v>
      </c>
      <c r="Y34">
        <v>6</v>
      </c>
      <c r="Z34" s="3">
        <v>4</v>
      </c>
      <c r="AA34">
        <v>6</v>
      </c>
      <c r="AB34">
        <v>2</v>
      </c>
      <c r="AC34">
        <v>2</v>
      </c>
      <c r="AD34" t="s">
        <v>41</v>
      </c>
      <c r="AE34">
        <v>4</v>
      </c>
      <c r="AF34" t="s">
        <v>41</v>
      </c>
      <c r="AG34">
        <v>2</v>
      </c>
      <c r="AH34" t="s">
        <v>41</v>
      </c>
      <c r="AI34" t="s">
        <v>41</v>
      </c>
      <c r="AJ34" t="s">
        <v>41</v>
      </c>
      <c r="AK34" s="3" t="s">
        <v>41</v>
      </c>
      <c r="AL34">
        <v>3</v>
      </c>
      <c r="AM34">
        <v>4</v>
      </c>
      <c r="AN34" s="3">
        <v>5</v>
      </c>
      <c r="AO34" t="s">
        <v>41</v>
      </c>
      <c r="AP34" s="3" t="s">
        <v>45</v>
      </c>
      <c r="AQ34" s="6">
        <f t="shared" si="16"/>
        <v>-1.5</v>
      </c>
      <c r="AR34" s="9" t="str">
        <f t="shared" si="17"/>
        <v>Minors</v>
      </c>
      <c r="AS34" s="6">
        <f t="shared" si="18"/>
        <v>3.333333333333333</v>
      </c>
      <c r="AT34" s="6" t="str">
        <f t="shared" si="19"/>
        <v>Minors</v>
      </c>
      <c r="AU34" s="9">
        <f t="shared" si="20"/>
        <v>3.333333333333333</v>
      </c>
      <c r="AV34" s="9" t="str">
        <f t="shared" si="21"/>
        <v>Minors</v>
      </c>
      <c r="AW34" s="53">
        <f t="shared" si="22"/>
        <v>0</v>
      </c>
      <c r="AX34" s="5">
        <f t="shared" si="23"/>
        <v>0</v>
      </c>
      <c r="AY34" s="5">
        <f t="shared" si="24"/>
        <v>0</v>
      </c>
      <c r="AZ34" s="5">
        <f t="shared" si="25"/>
        <v>0</v>
      </c>
      <c r="BA34" s="5">
        <f t="shared" si="26"/>
        <v>0</v>
      </c>
      <c r="BB34" s="5">
        <f t="shared" si="27"/>
        <v>0</v>
      </c>
      <c r="BC34" s="5">
        <f t="shared" si="28"/>
        <v>0</v>
      </c>
      <c r="BD34" s="5">
        <f t="shared" si="29"/>
        <v>0</v>
      </c>
      <c r="BE34" s="3">
        <f t="shared" si="30"/>
        <v>0</v>
      </c>
      <c r="BF34" s="53">
        <f t="shared" si="31"/>
        <v>0</v>
      </c>
      <c r="BG34" s="5">
        <f t="shared" si="32"/>
        <v>0</v>
      </c>
      <c r="BH34" s="5">
        <f t="shared" si="33"/>
        <v>0</v>
      </c>
      <c r="BI34" s="5">
        <f t="shared" si="34"/>
        <v>0</v>
      </c>
      <c r="BJ34" s="5">
        <f t="shared" si="35"/>
        <v>0</v>
      </c>
      <c r="BK34" s="5">
        <f t="shared" si="36"/>
        <v>0</v>
      </c>
      <c r="BL34" s="5">
        <f t="shared" si="37"/>
        <v>0</v>
      </c>
      <c r="BM34" s="5">
        <f t="shared" si="38"/>
        <v>0</v>
      </c>
      <c r="BN34" s="3">
        <f t="shared" si="39"/>
        <v>0</v>
      </c>
      <c r="BO34" s="3">
        <f t="shared" si="40"/>
        <v>0</v>
      </c>
      <c r="BP34" s="7">
        <f t="shared" si="41"/>
        <v>0</v>
      </c>
      <c r="BQ34" t="str">
        <f t="shared" si="42"/>
        <v/>
      </c>
      <c r="BR34" s="91">
        <f>IF(Q34="-","-",VLOOKUP($G34,CTBat!$G$10:$AN$89,BR$9,FALSE)-Q34)</f>
        <v>0</v>
      </c>
      <c r="BS34" s="91">
        <f>IF(R34="-","-",VLOOKUP($G34,CTBat!$G$10:$AN$89,BS$9,FALSE)-R34)</f>
        <v>1</v>
      </c>
      <c r="BT34" s="91">
        <f>IF(S34="-","-",VLOOKUP($G34,CTBat!$G$10:$AN$89,BT$9,FALSE)-S34)</f>
        <v>0</v>
      </c>
      <c r="BU34" s="91">
        <f>IF(T34="-","-",VLOOKUP($G34,CTBat!$G$10:$AN$89,BU$9,FALSE)-T34)</f>
        <v>0</v>
      </c>
      <c r="BV34" s="91">
        <f>IF(U34="-","-",VLOOKUP($G34,CTBat!$G$10:$AN$89,BV$9,FALSE)-U34)</f>
        <v>0</v>
      </c>
      <c r="BW34" s="91">
        <f>IF(V34="-","-",VLOOKUP($G34,CTBat!$G$10:$AN$89,BW$9,FALSE)-V34)</f>
        <v>0</v>
      </c>
      <c r="BX34" s="91">
        <f>IF(W34="-","-",VLOOKUP($G34,CTBat!$G$10:$AN$89,BX$9,FALSE)-W34)</f>
        <v>0</v>
      </c>
      <c r="BY34" s="91">
        <f>IF(X34="-","-",VLOOKUP($G34,CTBat!$G$10:$AN$89,BY$9,FALSE)-X34)</f>
        <v>0</v>
      </c>
      <c r="BZ34" s="91">
        <f>IF(Y34="-","-",VLOOKUP($G34,CTBat!$G$10:$AN$89,BZ$9,FALSE)-Y34)</f>
        <v>0</v>
      </c>
      <c r="CA34" s="91">
        <f>IF(Z34="-","-",VLOOKUP($G34,CTBat!$G$10:$AN$89,CA$9,FALSE)-Z34)</f>
        <v>0</v>
      </c>
      <c r="CB34" s="91">
        <f>IF(AA34="-","-",VLOOKUP($G34,CTBat!$G$10:$AN$89,CB$9,FALSE)-AA34)</f>
        <v>0</v>
      </c>
      <c r="CC34" s="91">
        <f>IF(AB34="-","-",VLOOKUP($G34,CTBat!$G$10:$AN$89,CC$9,FALSE)-AB34)</f>
        <v>0</v>
      </c>
      <c r="CD34" s="91">
        <f>IF(AC34="-","-",VLOOKUP($G34,CTBat!$G$10:$AN$89,CD$9,FALSE)-AC34)</f>
        <v>0</v>
      </c>
      <c r="CE34" s="91" t="str">
        <f>IF(AD34="-","-",VLOOKUP($G34,CTBat!$G$10:$AN$89,CE$9,FALSE)-AD34)</f>
        <v>-</v>
      </c>
      <c r="CF34" s="91">
        <f>IF(AE34="-","-",VLOOKUP($G34,CTBat!$G$10:$AN$89,CF$9,FALSE)-AE34)</f>
        <v>0</v>
      </c>
      <c r="CG34" s="91" t="str">
        <f>IF(AF34="-","-",VLOOKUP($G34,CTBat!$G$10:$AN$89,CG$9,FALSE)-AF34)</f>
        <v>-</v>
      </c>
      <c r="CH34" s="91">
        <f>IF(AG34="-","-",VLOOKUP($G34,CTBat!$G$10:$AN$89,CH$9,FALSE)-AG34)</f>
        <v>0</v>
      </c>
      <c r="CI34" s="91" t="str">
        <f>IF(AH34="-","-",VLOOKUP($G34,CTBat!$G$10:$AN$89,CI$9,FALSE)-AH34)</f>
        <v>-</v>
      </c>
      <c r="CJ34" s="91" t="str">
        <f>IF(AI34="-","-",VLOOKUP($G34,CTBat!$G$10:$AN$89,CJ$9,FALSE)-AI34)</f>
        <v>-</v>
      </c>
      <c r="CK34" s="91" t="str">
        <f>IF(AJ34="-","-",VLOOKUP($G34,CTBat!$G$10:$AN$89,CK$9,FALSE)-AJ34)</f>
        <v>-</v>
      </c>
      <c r="CL34" s="91" t="str">
        <f>IF(AK34="-","-",VLOOKUP($G34,CTBat!$G$10:$AN$89,CL$9,FALSE)-AK34)</f>
        <v>-</v>
      </c>
      <c r="CM34" s="91">
        <f>IF(AL34="-","-",VLOOKUP($G34,CTBat!$G$10:$AN$89,CM$9,FALSE)-AL34)</f>
        <v>0</v>
      </c>
      <c r="CN34" s="91">
        <f>IF(AM34="-","-",VLOOKUP($G34,CTBat!$G$10:$AN$89,CN$9,FALSE)-AM34)</f>
        <v>0</v>
      </c>
      <c r="CO34" s="91">
        <f>IF(AN34="-","-",VLOOKUP($G34,CTBat!$G$10:$AN$89,CO$9,FALSE)-AN34)</f>
        <v>0</v>
      </c>
      <c r="CP34" s="91">
        <f t="shared" si="43"/>
        <v>1</v>
      </c>
      <c r="CQ34" s="91">
        <f t="shared" si="44"/>
        <v>0</v>
      </c>
      <c r="CR34" s="91">
        <f t="shared" si="45"/>
        <v>0</v>
      </c>
      <c r="CS34" s="91">
        <f t="shared" si="46"/>
        <v>0</v>
      </c>
      <c r="CT34" s="91">
        <f t="shared" si="47"/>
        <v>1</v>
      </c>
    </row>
    <row r="35" spans="1:98">
      <c r="C35">
        <f t="shared" si="13"/>
        <v>8</v>
      </c>
      <c r="D35" t="str">
        <f t="shared" si="14"/>
        <v>-</v>
      </c>
      <c r="E35" t="str">
        <f t="shared" si="15"/>
        <v>K</v>
      </c>
      <c r="F35" t="s">
        <v>95</v>
      </c>
      <c r="G35" t="s">
        <v>461</v>
      </c>
      <c r="H35" t="s">
        <v>385</v>
      </c>
      <c r="I35" t="s">
        <v>214</v>
      </c>
      <c r="J35">
        <v>24</v>
      </c>
      <c r="K35" t="s">
        <v>107</v>
      </c>
      <c r="L35" t="s">
        <v>107</v>
      </c>
      <c r="M35" t="s">
        <v>47</v>
      </c>
      <c r="N35" s="3" t="s">
        <v>47</v>
      </c>
      <c r="O35" t="s">
        <v>230</v>
      </c>
      <c r="P35" s="3" t="s">
        <v>228</v>
      </c>
      <c r="Q35">
        <v>4</v>
      </c>
      <c r="R35">
        <v>9</v>
      </c>
      <c r="S35">
        <v>3</v>
      </c>
      <c r="T35">
        <v>3</v>
      </c>
      <c r="U35" s="3">
        <v>4</v>
      </c>
      <c r="V35">
        <v>5</v>
      </c>
      <c r="W35">
        <v>9</v>
      </c>
      <c r="X35">
        <v>3</v>
      </c>
      <c r="Y35">
        <v>3</v>
      </c>
      <c r="Z35" s="3">
        <v>4</v>
      </c>
      <c r="AA35">
        <v>6</v>
      </c>
      <c r="AB35">
        <v>7</v>
      </c>
      <c r="AC35">
        <v>8</v>
      </c>
      <c r="AD35">
        <v>9</v>
      </c>
      <c r="AE35" t="s">
        <v>41</v>
      </c>
      <c r="AF35" t="s">
        <v>41</v>
      </c>
      <c r="AG35" t="s">
        <v>41</v>
      </c>
      <c r="AH35" t="s">
        <v>41</v>
      </c>
      <c r="AI35" t="s">
        <v>41</v>
      </c>
      <c r="AJ35" t="s">
        <v>41</v>
      </c>
      <c r="AK35" s="3" t="s">
        <v>41</v>
      </c>
      <c r="AL35">
        <v>2</v>
      </c>
      <c r="AM35">
        <v>2</v>
      </c>
      <c r="AN35" s="3">
        <v>1</v>
      </c>
      <c r="AO35" t="s">
        <v>41</v>
      </c>
      <c r="AP35" s="3" t="s">
        <v>45</v>
      </c>
      <c r="AQ35" s="6">
        <f t="shared" si="16"/>
        <v>2.3333333333333335</v>
      </c>
      <c r="AR35" s="9" t="str">
        <f t="shared" si="17"/>
        <v>Minors</v>
      </c>
      <c r="AS35" s="6">
        <f t="shared" si="18"/>
        <v>3.1666666666666665</v>
      </c>
      <c r="AT35" s="6" t="str">
        <f t="shared" si="19"/>
        <v>Minors</v>
      </c>
      <c r="AU35" s="9">
        <f t="shared" si="20"/>
        <v>3.1666666666666665</v>
      </c>
      <c r="AV35" s="9" t="str">
        <f t="shared" si="21"/>
        <v>Minors</v>
      </c>
      <c r="AW35" s="53">
        <f t="shared" si="22"/>
        <v>0</v>
      </c>
      <c r="AX35" s="5">
        <f t="shared" si="23"/>
        <v>0</v>
      </c>
      <c r="AY35" s="5">
        <f t="shared" si="24"/>
        <v>0</v>
      </c>
      <c r="AZ35" s="5">
        <f t="shared" si="25"/>
        <v>0</v>
      </c>
      <c r="BA35" s="5">
        <f t="shared" si="26"/>
        <v>0</v>
      </c>
      <c r="BB35" s="5">
        <f t="shared" si="27"/>
        <v>0</v>
      </c>
      <c r="BC35" s="5">
        <f t="shared" si="28"/>
        <v>0</v>
      </c>
      <c r="BD35" s="5">
        <f t="shared" si="29"/>
        <v>0</v>
      </c>
      <c r="BE35" s="3">
        <f t="shared" si="30"/>
        <v>0</v>
      </c>
      <c r="BF35" s="53">
        <f t="shared" si="31"/>
        <v>0</v>
      </c>
      <c r="BG35" s="5">
        <f t="shared" si="32"/>
        <v>0</v>
      </c>
      <c r="BH35" s="5">
        <f t="shared" si="33"/>
        <v>0</v>
      </c>
      <c r="BI35" s="5">
        <f t="shared" si="34"/>
        <v>0</v>
      </c>
      <c r="BJ35" s="5">
        <f t="shared" si="35"/>
        <v>0</v>
      </c>
      <c r="BK35" s="5">
        <f t="shared" si="36"/>
        <v>0</v>
      </c>
      <c r="BL35" s="5">
        <f t="shared" si="37"/>
        <v>0</v>
      </c>
      <c r="BM35" s="5">
        <f t="shared" si="38"/>
        <v>1</v>
      </c>
      <c r="BN35" s="3">
        <f t="shared" si="39"/>
        <v>1</v>
      </c>
      <c r="BO35" s="3">
        <f t="shared" si="40"/>
        <v>0</v>
      </c>
      <c r="BP35" s="7">
        <f t="shared" si="41"/>
        <v>2</v>
      </c>
      <c r="BQ35" t="str">
        <f t="shared" si="42"/>
        <v/>
      </c>
      <c r="BR35" s="91">
        <f>IF(Q35="-","-",VLOOKUP($G35,CTBat!$G$10:$AN$89,BR$9,FALSE)-Q35)</f>
        <v>1</v>
      </c>
      <c r="BS35" s="91">
        <f>IF(R35="-","-",VLOOKUP($G35,CTBat!$G$10:$AN$89,BS$9,FALSE)-R35)</f>
        <v>0</v>
      </c>
      <c r="BT35" s="91">
        <f>IF(S35="-","-",VLOOKUP($G35,CTBat!$G$10:$AN$89,BT$9,FALSE)-S35)</f>
        <v>0</v>
      </c>
      <c r="BU35" s="91">
        <f>IF(T35="-","-",VLOOKUP($G35,CTBat!$G$10:$AN$89,BU$9,FALSE)-T35)</f>
        <v>0</v>
      </c>
      <c r="BV35" s="91">
        <f>IF(U35="-","-",VLOOKUP($G35,CTBat!$G$10:$AN$89,BV$9,FALSE)-U35)</f>
        <v>0</v>
      </c>
      <c r="BW35" s="91">
        <f>IF(V35="-","-",VLOOKUP($G35,CTBat!$G$10:$AN$89,BW$9,FALSE)-V35)</f>
        <v>0</v>
      </c>
      <c r="BX35" s="91">
        <f>IF(W35="-","-",VLOOKUP($G35,CTBat!$G$10:$AN$89,BX$9,FALSE)-W35)</f>
        <v>0</v>
      </c>
      <c r="BY35" s="91">
        <f>IF(X35="-","-",VLOOKUP($G35,CTBat!$G$10:$AN$89,BY$9,FALSE)-X35)</f>
        <v>0</v>
      </c>
      <c r="BZ35" s="91">
        <f>IF(Y35="-","-",VLOOKUP($G35,CTBat!$G$10:$AN$89,BZ$9,FALSE)-Y35)</f>
        <v>0</v>
      </c>
      <c r="CA35" s="91">
        <f>IF(Z35="-","-",VLOOKUP($G35,CTBat!$G$10:$AN$89,CA$9,FALSE)-Z35)</f>
        <v>0</v>
      </c>
      <c r="CB35" s="91">
        <f>IF(AA35="-","-",VLOOKUP($G35,CTBat!$G$10:$AN$89,CB$9,FALSE)-AA35)</f>
        <v>0</v>
      </c>
      <c r="CC35" s="91">
        <f>IF(AB35="-","-",VLOOKUP($G35,CTBat!$G$10:$AN$89,CC$9,FALSE)-AB35)</f>
        <v>0</v>
      </c>
      <c r="CD35" s="91">
        <f>IF(AC35="-","-",VLOOKUP($G35,CTBat!$G$10:$AN$89,CD$9,FALSE)-AC35)</f>
        <v>0</v>
      </c>
      <c r="CE35" s="91">
        <f>IF(AD35="-","-",VLOOKUP($G35,CTBat!$G$10:$AN$89,CE$9,FALSE)-AD35)</f>
        <v>0</v>
      </c>
      <c r="CF35" s="91" t="str">
        <f>IF(AE35="-","-",VLOOKUP($G35,CTBat!$G$10:$AN$89,CF$9,FALSE)-AE35)</f>
        <v>-</v>
      </c>
      <c r="CG35" s="91" t="str">
        <f>IF(AF35="-","-",VLOOKUP($G35,CTBat!$G$10:$AN$89,CG$9,FALSE)-AF35)</f>
        <v>-</v>
      </c>
      <c r="CH35" s="91" t="str">
        <f>IF(AG35="-","-",VLOOKUP($G35,CTBat!$G$10:$AN$89,CH$9,FALSE)-AG35)</f>
        <v>-</v>
      </c>
      <c r="CI35" s="91" t="str">
        <f>IF(AH35="-","-",VLOOKUP($G35,CTBat!$G$10:$AN$89,CI$9,FALSE)-AH35)</f>
        <v>-</v>
      </c>
      <c r="CJ35" s="91" t="str">
        <f>IF(AI35="-","-",VLOOKUP($G35,CTBat!$G$10:$AN$89,CJ$9,FALSE)-AI35)</f>
        <v>-</v>
      </c>
      <c r="CK35" s="91" t="str">
        <f>IF(AJ35="-","-",VLOOKUP($G35,CTBat!$G$10:$AN$89,CK$9,FALSE)-AJ35)</f>
        <v>-</v>
      </c>
      <c r="CL35" s="91" t="str">
        <f>IF(AK35="-","-",VLOOKUP($G35,CTBat!$G$10:$AN$89,CL$9,FALSE)-AK35)</f>
        <v>-</v>
      </c>
      <c r="CM35" s="91">
        <f>IF(AL35="-","-",VLOOKUP($G35,CTBat!$G$10:$AN$89,CM$9,FALSE)-AL35)</f>
        <v>0</v>
      </c>
      <c r="CN35" s="91">
        <f>IF(AM35="-","-",VLOOKUP($G35,CTBat!$G$10:$AN$89,CN$9,FALSE)-AM35)</f>
        <v>0</v>
      </c>
      <c r="CO35" s="91">
        <f>IF(AN35="-","-",VLOOKUP($G35,CTBat!$G$10:$AN$89,CO$9,FALSE)-AN35)</f>
        <v>0</v>
      </c>
      <c r="CP35" s="91">
        <f t="shared" si="43"/>
        <v>1</v>
      </c>
      <c r="CQ35" s="91">
        <f t="shared" si="44"/>
        <v>0</v>
      </c>
      <c r="CR35" s="91">
        <f t="shared" si="45"/>
        <v>0</v>
      </c>
      <c r="CS35" s="91">
        <f t="shared" si="46"/>
        <v>0</v>
      </c>
      <c r="CT35" s="91">
        <f t="shared" si="47"/>
        <v>1</v>
      </c>
    </row>
    <row r="36" spans="1:98">
      <c r="C36" t="str">
        <f t="shared" si="13"/>
        <v>-</v>
      </c>
      <c r="D36" t="str">
        <f t="shared" si="14"/>
        <v>-</v>
      </c>
      <c r="E36" t="str">
        <f t="shared" si="15"/>
        <v>K</v>
      </c>
      <c r="F36" t="s">
        <v>103</v>
      </c>
      <c r="G36" t="s">
        <v>441</v>
      </c>
      <c r="H36" t="s">
        <v>386</v>
      </c>
      <c r="I36" t="s">
        <v>215</v>
      </c>
      <c r="J36">
        <v>22</v>
      </c>
      <c r="K36" t="s">
        <v>106</v>
      </c>
      <c r="L36" t="s">
        <v>107</v>
      </c>
      <c r="M36" t="s">
        <v>47</v>
      </c>
      <c r="N36" s="281" t="s">
        <v>47</v>
      </c>
      <c r="O36" t="s">
        <v>230</v>
      </c>
      <c r="P36" s="281" t="s">
        <v>230</v>
      </c>
      <c r="Q36">
        <v>4</v>
      </c>
      <c r="R36">
        <v>8</v>
      </c>
      <c r="S36">
        <v>4</v>
      </c>
      <c r="T36">
        <v>3</v>
      </c>
      <c r="U36" s="281">
        <v>2</v>
      </c>
      <c r="V36">
        <v>4</v>
      </c>
      <c r="W36">
        <v>8</v>
      </c>
      <c r="X36">
        <v>4</v>
      </c>
      <c r="Y36">
        <v>3</v>
      </c>
      <c r="Z36" s="281">
        <v>4</v>
      </c>
      <c r="AA36">
        <v>1</v>
      </c>
      <c r="AB36">
        <v>8</v>
      </c>
      <c r="AC36">
        <v>1</v>
      </c>
      <c r="AD36" t="s">
        <v>41</v>
      </c>
      <c r="AE36">
        <v>1</v>
      </c>
      <c r="AF36" t="s">
        <v>41</v>
      </c>
      <c r="AG36" t="s">
        <v>41</v>
      </c>
      <c r="AH36" t="s">
        <v>41</v>
      </c>
      <c r="AI36">
        <v>6</v>
      </c>
      <c r="AJ36">
        <v>1</v>
      </c>
      <c r="AK36" s="281">
        <v>8</v>
      </c>
      <c r="AL36">
        <v>6</v>
      </c>
      <c r="AM36">
        <v>2</v>
      </c>
      <c r="AN36" s="281">
        <v>2</v>
      </c>
      <c r="AO36" s="85" t="s">
        <v>41</v>
      </c>
      <c r="AP36" s="281">
        <v>0</v>
      </c>
      <c r="AQ36" s="6">
        <f t="shared" si="16"/>
        <v>2.6666666666666665</v>
      </c>
      <c r="AR36" s="9" t="str">
        <f t="shared" si="17"/>
        <v>Minors</v>
      </c>
      <c r="AS36" s="6">
        <f t="shared" si="18"/>
        <v>2.6666666666666665</v>
      </c>
      <c r="AT36" s="6" t="str">
        <f t="shared" si="19"/>
        <v>Minors</v>
      </c>
      <c r="AU36" s="9">
        <f t="shared" si="20"/>
        <v>2.6666666666666665</v>
      </c>
      <c r="AV36" s="9" t="str">
        <f t="shared" si="21"/>
        <v>Minors</v>
      </c>
      <c r="AW36" s="53">
        <f t="shared" si="22"/>
        <v>0</v>
      </c>
      <c r="AX36" s="280">
        <f t="shared" si="23"/>
        <v>0</v>
      </c>
      <c r="AY36" s="280">
        <f t="shared" si="24"/>
        <v>0</v>
      </c>
      <c r="AZ36" s="280">
        <f t="shared" si="25"/>
        <v>0</v>
      </c>
      <c r="BA36" s="280">
        <f t="shared" si="26"/>
        <v>0</v>
      </c>
      <c r="BB36" s="280">
        <f t="shared" si="27"/>
        <v>0</v>
      </c>
      <c r="BC36" s="280">
        <f t="shared" si="28"/>
        <v>0</v>
      </c>
      <c r="BD36" s="280">
        <f t="shared" si="29"/>
        <v>0</v>
      </c>
      <c r="BE36" s="281">
        <f t="shared" si="30"/>
        <v>0</v>
      </c>
      <c r="BF36" s="53">
        <f t="shared" si="31"/>
        <v>0</v>
      </c>
      <c r="BG36" s="280">
        <f t="shared" si="32"/>
        <v>0</v>
      </c>
      <c r="BH36" s="280">
        <f t="shared" si="33"/>
        <v>0</v>
      </c>
      <c r="BI36" s="280">
        <f t="shared" si="34"/>
        <v>0</v>
      </c>
      <c r="BJ36" s="280">
        <f t="shared" si="35"/>
        <v>0</v>
      </c>
      <c r="BK36" s="280">
        <f t="shared" si="36"/>
        <v>0</v>
      </c>
      <c r="BL36" s="280">
        <f t="shared" si="37"/>
        <v>0</v>
      </c>
      <c r="BM36" s="280">
        <f t="shared" si="38"/>
        <v>0</v>
      </c>
      <c r="BN36" s="281">
        <f t="shared" si="39"/>
        <v>0</v>
      </c>
      <c r="BO36" s="281">
        <f t="shared" si="40"/>
        <v>0</v>
      </c>
      <c r="BP36" s="7">
        <f t="shared" si="41"/>
        <v>2</v>
      </c>
      <c r="BQ36" t="str">
        <f t="shared" si="42"/>
        <v/>
      </c>
      <c r="BR36" s="91">
        <f>IF(Q36="-","-",VLOOKUP($G36,CTBat!$G$10:$AN$89,BR$9,FALSE)-Q36)</f>
        <v>0</v>
      </c>
      <c r="BS36" s="91">
        <f>IF(R36="-","-",VLOOKUP($G36,CTBat!$G$10:$AN$89,BS$9,FALSE)-R36)</f>
        <v>0</v>
      </c>
      <c r="BT36" s="91">
        <f>IF(S36="-","-",VLOOKUP($G36,CTBat!$G$10:$AN$89,BT$9,FALSE)-S36)</f>
        <v>0</v>
      </c>
      <c r="BU36" s="91">
        <f>IF(T36="-","-",VLOOKUP($G36,CTBat!$G$10:$AN$89,BU$9,FALSE)-T36)</f>
        <v>0</v>
      </c>
      <c r="BV36" s="91">
        <f>IF(U36="-","-",VLOOKUP($G36,CTBat!$G$10:$AN$89,BV$9,FALSE)-U36)</f>
        <v>0</v>
      </c>
      <c r="BW36" s="91">
        <f>IF(V36="-","-",VLOOKUP($G36,CTBat!$G$10:$AN$89,BW$9,FALSE)-V36)</f>
        <v>0</v>
      </c>
      <c r="BX36" s="91">
        <f>IF(W36="-","-",VLOOKUP($G36,CTBat!$G$10:$AN$89,BX$9,FALSE)-W36)</f>
        <v>0</v>
      </c>
      <c r="BY36" s="91">
        <f>IF(X36="-","-",VLOOKUP($G36,CTBat!$G$10:$AN$89,BY$9,FALSE)-X36)</f>
        <v>0</v>
      </c>
      <c r="BZ36" s="91">
        <f>IF(Y36="-","-",VLOOKUP($G36,CTBat!$G$10:$AN$89,BZ$9,FALSE)-Y36)</f>
        <v>0</v>
      </c>
      <c r="CA36" s="91">
        <f>IF(Z36="-","-",VLOOKUP($G36,CTBat!$G$10:$AN$89,CA$9,FALSE)-Z36)</f>
        <v>0</v>
      </c>
      <c r="CB36" s="91">
        <f>IF(AA36="-","-",VLOOKUP($G36,CTBat!$G$10:$AN$89,CB$9,FALSE)-AA36)</f>
        <v>0</v>
      </c>
      <c r="CC36" s="91">
        <f>IF(AB36="-","-",VLOOKUP($G36,CTBat!$G$10:$AN$89,CC$9,FALSE)-AB36)</f>
        <v>0</v>
      </c>
      <c r="CD36" s="91">
        <f>IF(AC36="-","-",VLOOKUP($G36,CTBat!$G$10:$AN$89,CD$9,FALSE)-AC36)</f>
        <v>0</v>
      </c>
      <c r="CE36" s="91" t="str">
        <f>IF(AD36="-","-",VLOOKUP($G36,CTBat!$G$10:$AN$89,CE$9,FALSE)-AD36)</f>
        <v>-</v>
      </c>
      <c r="CF36" s="91">
        <f>IF(AE36="-","-",VLOOKUP($G36,CTBat!$G$10:$AN$89,CF$9,FALSE)-AE36)</f>
        <v>0</v>
      </c>
      <c r="CG36" s="91" t="str">
        <f>IF(AF36="-","-",VLOOKUP($G36,CTBat!$G$10:$AN$89,CG$9,FALSE)-AF36)</f>
        <v>-</v>
      </c>
      <c r="CH36" s="91" t="str">
        <f>IF(AG36="-","-",VLOOKUP($G36,CTBat!$G$10:$AN$89,CH$9,FALSE)-AG36)</f>
        <v>-</v>
      </c>
      <c r="CI36" s="91" t="str">
        <f>IF(AH36="-","-",VLOOKUP($G36,CTBat!$G$10:$AN$89,CI$9,FALSE)-AH36)</f>
        <v>-</v>
      </c>
      <c r="CJ36" s="91">
        <f>IF(AI36="-","-",VLOOKUP($G36,CTBat!$G$10:$AN$89,CJ$9,FALSE)-AI36)</f>
        <v>0</v>
      </c>
      <c r="CK36" s="91">
        <f>IF(AJ36="-","-",VLOOKUP($G36,CTBat!$G$10:$AN$89,CK$9,FALSE)-AJ36)</f>
        <v>0</v>
      </c>
      <c r="CL36" s="91">
        <f>IF(AK36="-","-",VLOOKUP($G36,CTBat!$G$10:$AN$89,CL$9,FALSE)-AK36)</f>
        <v>1</v>
      </c>
      <c r="CM36" s="91">
        <f>IF(AL36="-","-",VLOOKUP($G36,CTBat!$G$10:$AN$89,CM$9,FALSE)-AL36)</f>
        <v>0</v>
      </c>
      <c r="CN36" s="91">
        <f>IF(AM36="-","-",VLOOKUP($G36,CTBat!$G$10:$AN$89,CN$9,FALSE)-AM36)</f>
        <v>0</v>
      </c>
      <c r="CO36" s="91">
        <f>IF(AN36="-","-",VLOOKUP($G36,CTBat!$G$10:$AN$89,CO$9,FALSE)-AN36)</f>
        <v>0</v>
      </c>
      <c r="CP36" s="91">
        <f t="shared" si="43"/>
        <v>0</v>
      </c>
      <c r="CQ36" s="91">
        <f t="shared" si="44"/>
        <v>0</v>
      </c>
      <c r="CR36" s="91">
        <f t="shared" si="45"/>
        <v>1</v>
      </c>
      <c r="CS36" s="91">
        <f t="shared" si="46"/>
        <v>0</v>
      </c>
      <c r="CT36" s="91">
        <f t="shared" si="47"/>
        <v>1</v>
      </c>
    </row>
    <row r="37" spans="1:98">
      <c r="C37" t="str">
        <f t="shared" si="13"/>
        <v>-</v>
      </c>
      <c r="D37" t="str">
        <f t="shared" si="14"/>
        <v>-</v>
      </c>
      <c r="E37" t="str">
        <f t="shared" si="15"/>
        <v>K</v>
      </c>
      <c r="F37" t="s">
        <v>100</v>
      </c>
      <c r="G37" t="s">
        <v>438</v>
      </c>
      <c r="H37" t="s">
        <v>383</v>
      </c>
      <c r="I37" t="s">
        <v>327</v>
      </c>
      <c r="J37">
        <v>23</v>
      </c>
      <c r="K37" t="s">
        <v>107</v>
      </c>
      <c r="L37" t="s">
        <v>107</v>
      </c>
      <c r="M37" t="s">
        <v>47</v>
      </c>
      <c r="N37" s="3" t="s">
        <v>47</v>
      </c>
      <c r="O37" t="s">
        <v>232</v>
      </c>
      <c r="P37" s="3" t="s">
        <v>231</v>
      </c>
      <c r="Q37">
        <v>3</v>
      </c>
      <c r="R37">
        <v>5</v>
      </c>
      <c r="S37">
        <v>2</v>
      </c>
      <c r="T37">
        <v>3</v>
      </c>
      <c r="U37" s="3">
        <v>2</v>
      </c>
      <c r="V37">
        <v>4</v>
      </c>
      <c r="W37">
        <v>6</v>
      </c>
      <c r="X37">
        <v>2</v>
      </c>
      <c r="Y37">
        <v>3</v>
      </c>
      <c r="Z37" s="3">
        <v>4</v>
      </c>
      <c r="AA37">
        <v>7</v>
      </c>
      <c r="AB37">
        <v>6</v>
      </c>
      <c r="AC37">
        <v>1</v>
      </c>
      <c r="AD37" t="s">
        <v>41</v>
      </c>
      <c r="AE37">
        <v>8</v>
      </c>
      <c r="AF37">
        <v>9</v>
      </c>
      <c r="AG37">
        <v>7</v>
      </c>
      <c r="AH37">
        <v>10</v>
      </c>
      <c r="AI37" t="s">
        <v>41</v>
      </c>
      <c r="AJ37" t="s">
        <v>41</v>
      </c>
      <c r="AK37" s="3">
        <v>7</v>
      </c>
      <c r="AL37">
        <v>5</v>
      </c>
      <c r="AM37">
        <v>7</v>
      </c>
      <c r="AN37" s="3">
        <v>6</v>
      </c>
      <c r="AO37" s="85" t="s">
        <v>41</v>
      </c>
      <c r="AP37" s="3">
        <v>0</v>
      </c>
      <c r="AQ37" s="6">
        <f t="shared" si="16"/>
        <v>1.1666666666666665</v>
      </c>
      <c r="AR37" s="9" t="str">
        <f t="shared" si="17"/>
        <v>Minors</v>
      </c>
      <c r="AS37" s="6">
        <f t="shared" si="18"/>
        <v>2</v>
      </c>
      <c r="AT37" s="6" t="str">
        <f t="shared" si="19"/>
        <v>Minors</v>
      </c>
      <c r="AU37" s="9">
        <f t="shared" si="20"/>
        <v>2</v>
      </c>
      <c r="AV37" s="9" t="str">
        <f t="shared" si="21"/>
        <v>Minors</v>
      </c>
      <c r="AW37" s="53">
        <f t="shared" si="22"/>
        <v>0</v>
      </c>
      <c r="AX37" s="5">
        <f t="shared" si="23"/>
        <v>0</v>
      </c>
      <c r="AY37" s="5">
        <f t="shared" si="24"/>
        <v>0</v>
      </c>
      <c r="AZ37" s="5">
        <f t="shared" si="25"/>
        <v>0</v>
      </c>
      <c r="BA37" s="5">
        <f t="shared" si="26"/>
        <v>0</v>
      </c>
      <c r="BB37" s="5">
        <f t="shared" si="27"/>
        <v>0</v>
      </c>
      <c r="BC37" s="5">
        <f t="shared" si="28"/>
        <v>0</v>
      </c>
      <c r="BD37" s="5">
        <f t="shared" si="29"/>
        <v>0</v>
      </c>
      <c r="BE37" s="3">
        <f t="shared" si="30"/>
        <v>0</v>
      </c>
      <c r="BF37" s="53">
        <f t="shared" si="31"/>
        <v>0</v>
      </c>
      <c r="BG37" s="5">
        <f t="shared" si="32"/>
        <v>0</v>
      </c>
      <c r="BH37" s="5">
        <f t="shared" si="33"/>
        <v>0</v>
      </c>
      <c r="BI37" s="5">
        <f t="shared" si="34"/>
        <v>0</v>
      </c>
      <c r="BJ37" s="5">
        <f t="shared" si="35"/>
        <v>0</v>
      </c>
      <c r="BK37" s="5">
        <f t="shared" si="36"/>
        <v>0</v>
      </c>
      <c r="BL37" s="5">
        <f t="shared" si="37"/>
        <v>0</v>
      </c>
      <c r="BM37" s="5">
        <f t="shared" si="38"/>
        <v>0</v>
      </c>
      <c r="BN37" s="3">
        <f t="shared" si="39"/>
        <v>0</v>
      </c>
      <c r="BO37" s="3">
        <f t="shared" si="40"/>
        <v>0</v>
      </c>
      <c r="BP37" s="7">
        <f t="shared" si="41"/>
        <v>2</v>
      </c>
      <c r="BQ37" t="str">
        <f t="shared" si="42"/>
        <v/>
      </c>
      <c r="BR37" s="91">
        <f>IF(Q37="-","-",VLOOKUP($G37,CTBat!$G$10:$AN$89,BR$9,FALSE)-Q37)</f>
        <v>0</v>
      </c>
      <c r="BS37" s="91">
        <f>IF(R37="-","-",VLOOKUP($G37,CTBat!$G$10:$AN$89,BS$9,FALSE)-R37)</f>
        <v>0</v>
      </c>
      <c r="BT37" s="91">
        <f>IF(S37="-","-",VLOOKUP($G37,CTBat!$G$10:$AN$89,BT$9,FALSE)-S37)</f>
        <v>0</v>
      </c>
      <c r="BU37" s="91">
        <f>IF(T37="-","-",VLOOKUP($G37,CTBat!$G$10:$AN$89,BU$9,FALSE)-T37)</f>
        <v>0</v>
      </c>
      <c r="BV37" s="91">
        <f>IF(U37="-","-",VLOOKUP($G37,CTBat!$G$10:$AN$89,BV$9,FALSE)-U37)</f>
        <v>0</v>
      </c>
      <c r="BW37" s="91">
        <f>IF(V37="-","-",VLOOKUP($G37,CTBat!$G$10:$AN$89,BW$9,FALSE)-V37)</f>
        <v>0</v>
      </c>
      <c r="BX37" s="91">
        <f>IF(W37="-","-",VLOOKUP($G37,CTBat!$G$10:$AN$89,BX$9,FALSE)-W37)</f>
        <v>0</v>
      </c>
      <c r="BY37" s="91">
        <f>IF(X37="-","-",VLOOKUP($G37,CTBat!$G$10:$AN$89,BY$9,FALSE)-X37)</f>
        <v>0</v>
      </c>
      <c r="BZ37" s="91">
        <f>IF(Y37="-","-",VLOOKUP($G37,CTBat!$G$10:$AN$89,BZ$9,FALSE)-Y37)</f>
        <v>0</v>
      </c>
      <c r="CA37" s="91">
        <f>IF(Z37="-","-",VLOOKUP($G37,CTBat!$G$10:$AN$89,CA$9,FALSE)-Z37)</f>
        <v>0</v>
      </c>
      <c r="CB37" s="91">
        <f>IF(AA37="-","-",VLOOKUP($G37,CTBat!$G$10:$AN$89,CB$9,FALSE)-AA37)</f>
        <v>0</v>
      </c>
      <c r="CC37" s="91">
        <f>IF(AB37="-","-",VLOOKUP($G37,CTBat!$G$10:$AN$89,CC$9,FALSE)-AB37)</f>
        <v>0</v>
      </c>
      <c r="CD37" s="91">
        <f>IF(AC37="-","-",VLOOKUP($G37,CTBat!$G$10:$AN$89,CD$9,FALSE)-AC37)</f>
        <v>0</v>
      </c>
      <c r="CE37" s="91" t="str">
        <f>IF(AD37="-","-",VLOOKUP($G37,CTBat!$G$10:$AN$89,CE$9,FALSE)-AD37)</f>
        <v>-</v>
      </c>
      <c r="CF37" s="91">
        <f>IF(AE37="-","-",VLOOKUP($G37,CTBat!$G$10:$AN$89,CF$9,FALSE)-AE37)</f>
        <v>0</v>
      </c>
      <c r="CG37" s="91">
        <f>IF(AF37="-","-",VLOOKUP($G37,CTBat!$G$10:$AN$89,CG$9,FALSE)-AF37)</f>
        <v>0</v>
      </c>
      <c r="CH37" s="91">
        <f>IF(AG37="-","-",VLOOKUP($G37,CTBat!$G$10:$AN$89,CH$9,FALSE)-AG37)</f>
        <v>0</v>
      </c>
      <c r="CI37" s="91">
        <f>IF(AH37="-","-",VLOOKUP($G37,CTBat!$G$10:$AN$89,CI$9,FALSE)-AH37)</f>
        <v>0</v>
      </c>
      <c r="CJ37" s="91" t="str">
        <f>IF(AI37="-","-",VLOOKUP($G37,CTBat!$G$10:$AN$89,CJ$9,FALSE)-AI37)</f>
        <v>-</v>
      </c>
      <c r="CK37" s="91" t="str">
        <f>IF(AJ37="-","-",VLOOKUP($G37,CTBat!$G$10:$AN$89,CK$9,FALSE)-AJ37)</f>
        <v>-</v>
      </c>
      <c r="CL37" s="91">
        <f>IF(AK37="-","-",VLOOKUP($G37,CTBat!$G$10:$AN$89,CL$9,FALSE)-AK37)</f>
        <v>0</v>
      </c>
      <c r="CM37" s="91">
        <f>IF(AL37="-","-",VLOOKUP($G37,CTBat!$G$10:$AN$89,CM$9,FALSE)-AL37)</f>
        <v>1</v>
      </c>
      <c r="CN37" s="91">
        <f>IF(AM37="-","-",VLOOKUP($G37,CTBat!$G$10:$AN$89,CN$9,FALSE)-AM37)</f>
        <v>0</v>
      </c>
      <c r="CO37" s="91">
        <f>IF(AN37="-","-",VLOOKUP($G37,CTBat!$G$10:$AN$89,CO$9,FALSE)-AN37)</f>
        <v>0</v>
      </c>
      <c r="CP37" s="91">
        <f t="shared" si="43"/>
        <v>0</v>
      </c>
      <c r="CQ37" s="91">
        <f t="shared" si="44"/>
        <v>0</v>
      </c>
      <c r="CR37" s="91">
        <f t="shared" si="45"/>
        <v>0</v>
      </c>
      <c r="CS37" s="91">
        <f t="shared" si="46"/>
        <v>1</v>
      </c>
      <c r="CT37" s="91">
        <f t="shared" si="47"/>
        <v>1</v>
      </c>
    </row>
    <row r="38" spans="1:98">
      <c r="C38" t="str">
        <f t="shared" si="13"/>
        <v>-</v>
      </c>
      <c r="D38" t="str">
        <f t="shared" si="14"/>
        <v>-</v>
      </c>
      <c r="E38" t="str">
        <f t="shared" si="15"/>
        <v>K</v>
      </c>
      <c r="F38" t="s">
        <v>102</v>
      </c>
      <c r="G38" t="s">
        <v>440</v>
      </c>
      <c r="H38" t="s">
        <v>383</v>
      </c>
      <c r="I38" t="s">
        <v>327</v>
      </c>
      <c r="J38">
        <v>23</v>
      </c>
      <c r="K38" t="s">
        <v>107</v>
      </c>
      <c r="L38" t="s">
        <v>107</v>
      </c>
      <c r="M38" t="s">
        <v>47</v>
      </c>
      <c r="N38" s="3" t="s">
        <v>47</v>
      </c>
      <c r="O38" t="s">
        <v>231</v>
      </c>
      <c r="P38" s="3" t="s">
        <v>229</v>
      </c>
      <c r="Q38">
        <v>3</v>
      </c>
      <c r="R38">
        <v>5</v>
      </c>
      <c r="S38">
        <v>1</v>
      </c>
      <c r="T38">
        <v>2</v>
      </c>
      <c r="U38" s="3">
        <v>3</v>
      </c>
      <c r="V38">
        <v>4</v>
      </c>
      <c r="W38">
        <v>5</v>
      </c>
      <c r="X38">
        <v>1</v>
      </c>
      <c r="Y38">
        <v>2</v>
      </c>
      <c r="Z38" s="3">
        <v>4</v>
      </c>
      <c r="AA38">
        <v>1</v>
      </c>
      <c r="AB38">
        <v>6</v>
      </c>
      <c r="AC38">
        <v>1</v>
      </c>
      <c r="AD38" t="s">
        <v>41</v>
      </c>
      <c r="AE38">
        <v>1</v>
      </c>
      <c r="AF38" t="s">
        <v>41</v>
      </c>
      <c r="AG38" t="s">
        <v>41</v>
      </c>
      <c r="AH38" t="s">
        <v>41</v>
      </c>
      <c r="AI38">
        <v>10</v>
      </c>
      <c r="AJ38">
        <v>10</v>
      </c>
      <c r="AK38" s="3">
        <v>9</v>
      </c>
      <c r="AL38">
        <v>6</v>
      </c>
      <c r="AM38">
        <v>7</v>
      </c>
      <c r="AN38" s="3">
        <v>8</v>
      </c>
      <c r="AO38" t="s">
        <v>41</v>
      </c>
      <c r="AP38" s="3">
        <v>0</v>
      </c>
      <c r="AQ38" s="6">
        <f t="shared" si="16"/>
        <v>0.5</v>
      </c>
      <c r="AR38" s="9" t="str">
        <f t="shared" si="17"/>
        <v>Minors</v>
      </c>
      <c r="AS38" s="6">
        <f t="shared" si="18"/>
        <v>1.3333333333333335</v>
      </c>
      <c r="AT38" s="6" t="str">
        <f t="shared" si="19"/>
        <v>Minors</v>
      </c>
      <c r="AU38" s="9">
        <f t="shared" si="20"/>
        <v>1.3333333333333335</v>
      </c>
      <c r="AV38" s="9" t="str">
        <f t="shared" si="21"/>
        <v>Minors</v>
      </c>
      <c r="AW38" s="53">
        <f t="shared" si="22"/>
        <v>0</v>
      </c>
      <c r="AX38" s="5">
        <f t="shared" si="23"/>
        <v>0</v>
      </c>
      <c r="AY38" s="5">
        <f t="shared" si="24"/>
        <v>0</v>
      </c>
      <c r="AZ38" s="5">
        <f t="shared" si="25"/>
        <v>0</v>
      </c>
      <c r="BA38" s="5">
        <f t="shared" si="26"/>
        <v>0</v>
      </c>
      <c r="BB38" s="5">
        <f t="shared" si="27"/>
        <v>0</v>
      </c>
      <c r="BC38" s="5">
        <f t="shared" si="28"/>
        <v>0</v>
      </c>
      <c r="BD38" s="5">
        <f t="shared" si="29"/>
        <v>0</v>
      </c>
      <c r="BE38" s="3">
        <f t="shared" si="30"/>
        <v>0</v>
      </c>
      <c r="BF38" s="53">
        <f t="shared" si="31"/>
        <v>0</v>
      </c>
      <c r="BG38" s="5">
        <f t="shared" si="32"/>
        <v>0</v>
      </c>
      <c r="BH38" s="5">
        <f t="shared" si="33"/>
        <v>0</v>
      </c>
      <c r="BI38" s="5">
        <f t="shared" si="34"/>
        <v>0</v>
      </c>
      <c r="BJ38" s="5">
        <f t="shared" si="35"/>
        <v>0</v>
      </c>
      <c r="BK38" s="5">
        <f t="shared" si="36"/>
        <v>0</v>
      </c>
      <c r="BL38" s="5">
        <f t="shared" si="37"/>
        <v>0</v>
      </c>
      <c r="BM38" s="5">
        <f t="shared" si="38"/>
        <v>0</v>
      </c>
      <c r="BN38" s="3">
        <f t="shared" si="39"/>
        <v>0</v>
      </c>
      <c r="BO38" s="3">
        <f t="shared" si="40"/>
        <v>1</v>
      </c>
      <c r="BP38" s="7">
        <f t="shared" si="41"/>
        <v>2</v>
      </c>
      <c r="BQ38" t="str">
        <f t="shared" si="42"/>
        <v/>
      </c>
      <c r="BR38" s="91">
        <f>IF(Q38="-","-",VLOOKUP($G38,CTBat!$G$10:$AN$89,BR$9,FALSE)-Q38)</f>
        <v>1</v>
      </c>
      <c r="BS38" s="91">
        <f>IF(R38="-","-",VLOOKUP($G38,CTBat!$G$10:$AN$89,BS$9,FALSE)-R38)</f>
        <v>0</v>
      </c>
      <c r="BT38" s="91">
        <f>IF(S38="-","-",VLOOKUP($G38,CTBat!$G$10:$AN$89,BT$9,FALSE)-S38)</f>
        <v>0</v>
      </c>
      <c r="BU38" s="91">
        <f>IF(T38="-","-",VLOOKUP($G38,CTBat!$G$10:$AN$89,BU$9,FALSE)-T38)</f>
        <v>0</v>
      </c>
      <c r="BV38" s="91">
        <f>IF(U38="-","-",VLOOKUP($G38,CTBat!$G$10:$AN$89,BV$9,FALSE)-U38)</f>
        <v>0</v>
      </c>
      <c r="BW38" s="91">
        <f>IF(V38="-","-",VLOOKUP($G38,CTBat!$G$10:$AN$89,BW$9,FALSE)-V38)</f>
        <v>0</v>
      </c>
      <c r="BX38" s="91">
        <f>IF(W38="-","-",VLOOKUP($G38,CTBat!$G$10:$AN$89,BX$9,FALSE)-W38)</f>
        <v>0</v>
      </c>
      <c r="BY38" s="91">
        <f>IF(X38="-","-",VLOOKUP($G38,CTBat!$G$10:$AN$89,BY$9,FALSE)-X38)</f>
        <v>0</v>
      </c>
      <c r="BZ38" s="91">
        <f>IF(Y38="-","-",VLOOKUP($G38,CTBat!$G$10:$AN$89,BZ$9,FALSE)-Y38)</f>
        <v>0</v>
      </c>
      <c r="CA38" s="91">
        <f>IF(Z38="-","-",VLOOKUP($G38,CTBat!$G$10:$AN$89,CA$9,FALSE)-Z38)</f>
        <v>0</v>
      </c>
      <c r="CB38" s="91">
        <f>IF(AA38="-","-",VLOOKUP($G38,CTBat!$G$10:$AN$89,CB$9,FALSE)-AA38)</f>
        <v>0</v>
      </c>
      <c r="CC38" s="91">
        <f>IF(AB38="-","-",VLOOKUP($G38,CTBat!$G$10:$AN$89,CC$9,FALSE)-AB38)</f>
        <v>0</v>
      </c>
      <c r="CD38" s="91">
        <f>IF(AC38="-","-",VLOOKUP($G38,CTBat!$G$10:$AN$89,CD$9,FALSE)-AC38)</f>
        <v>0</v>
      </c>
      <c r="CE38" s="91" t="str">
        <f>IF(AD38="-","-",VLOOKUP($G38,CTBat!$G$10:$AN$89,CE$9,FALSE)-AD38)</f>
        <v>-</v>
      </c>
      <c r="CF38" s="91">
        <f>IF(AE38="-","-",VLOOKUP($G38,CTBat!$G$10:$AN$89,CF$9,FALSE)-AE38)</f>
        <v>0</v>
      </c>
      <c r="CG38" s="91" t="str">
        <f>IF(AF38="-","-",VLOOKUP($G38,CTBat!$G$10:$AN$89,CG$9,FALSE)-AF38)</f>
        <v>-</v>
      </c>
      <c r="CH38" s="91" t="str">
        <f>IF(AG38="-","-",VLOOKUP($G38,CTBat!$G$10:$AN$89,CH$9,FALSE)-AG38)</f>
        <v>-</v>
      </c>
      <c r="CI38" s="91" t="str">
        <f>IF(AH38="-","-",VLOOKUP($G38,CTBat!$G$10:$AN$89,CI$9,FALSE)-AH38)</f>
        <v>-</v>
      </c>
      <c r="CJ38" s="91">
        <f>IF(AI38="-","-",VLOOKUP($G38,CTBat!$G$10:$AN$89,CJ$9,FALSE)-AI38)</f>
        <v>0</v>
      </c>
      <c r="CK38" s="91">
        <f>IF(AJ38="-","-",VLOOKUP($G38,CTBat!$G$10:$AN$89,CK$9,FALSE)-AJ38)</f>
        <v>0</v>
      </c>
      <c r="CL38" s="91">
        <f>IF(AK38="-","-",VLOOKUP($G38,CTBat!$G$10:$AN$89,CL$9,FALSE)-AK38)</f>
        <v>0</v>
      </c>
      <c r="CM38" s="91">
        <f>IF(AL38="-","-",VLOOKUP($G38,CTBat!$G$10:$AN$89,CM$9,FALSE)-AL38)</f>
        <v>0</v>
      </c>
      <c r="CN38" s="91">
        <f>IF(AM38="-","-",VLOOKUP($G38,CTBat!$G$10:$AN$89,CN$9,FALSE)-AM38)</f>
        <v>0</v>
      </c>
      <c r="CO38" s="91">
        <f>IF(AN38="-","-",VLOOKUP($G38,CTBat!$G$10:$AN$89,CO$9,FALSE)-AN38)</f>
        <v>0</v>
      </c>
      <c r="CP38" s="91">
        <f t="shared" si="43"/>
        <v>1</v>
      </c>
      <c r="CQ38" s="91">
        <f t="shared" si="44"/>
        <v>0</v>
      </c>
      <c r="CR38" s="91">
        <f t="shared" si="45"/>
        <v>0</v>
      </c>
      <c r="CS38" s="91">
        <f t="shared" si="46"/>
        <v>0</v>
      </c>
      <c r="CT38" s="91">
        <f t="shared" si="47"/>
        <v>1</v>
      </c>
    </row>
    <row r="39" spans="1:98">
      <c r="A39" s="91"/>
      <c r="B39" s="91"/>
      <c r="C39" s="91">
        <f t="shared" si="13"/>
        <v>3</v>
      </c>
      <c r="D39" s="91">
        <f t="shared" si="14"/>
        <v>3</v>
      </c>
      <c r="E39" s="91" t="str">
        <f t="shared" si="15"/>
        <v>K</v>
      </c>
      <c r="F39" s="91" t="s">
        <v>100</v>
      </c>
      <c r="G39" s="91" t="s">
        <v>43</v>
      </c>
      <c r="H39" s="91" t="s">
        <v>25</v>
      </c>
      <c r="I39" s="91" t="s">
        <v>212</v>
      </c>
      <c r="J39" s="91">
        <v>30</v>
      </c>
      <c r="K39" s="91" t="s">
        <v>106</v>
      </c>
      <c r="L39" s="91" t="s">
        <v>107</v>
      </c>
      <c r="M39" s="91" t="s">
        <v>44</v>
      </c>
      <c r="N39" s="282" t="s">
        <v>44</v>
      </c>
      <c r="O39" s="91" t="s">
        <v>229</v>
      </c>
      <c r="P39" s="282" t="s">
        <v>228</v>
      </c>
      <c r="Q39" s="91">
        <v>8</v>
      </c>
      <c r="R39" s="91">
        <v>8</v>
      </c>
      <c r="S39" s="91">
        <v>10</v>
      </c>
      <c r="T39" s="91">
        <v>7</v>
      </c>
      <c r="U39" s="282">
        <v>4</v>
      </c>
      <c r="V39" s="91">
        <v>8</v>
      </c>
      <c r="W39" s="91">
        <v>8</v>
      </c>
      <c r="X39" s="91">
        <v>10</v>
      </c>
      <c r="Y39" s="91">
        <v>7</v>
      </c>
      <c r="Z39" s="282">
        <v>4</v>
      </c>
      <c r="AA39" s="91">
        <v>8</v>
      </c>
      <c r="AB39" s="91">
        <v>1</v>
      </c>
      <c r="AC39" s="91">
        <v>1</v>
      </c>
      <c r="AD39" s="91" t="s">
        <v>41</v>
      </c>
      <c r="AE39" s="91" t="s">
        <v>41</v>
      </c>
      <c r="AF39" s="91">
        <v>2</v>
      </c>
      <c r="AG39" s="91">
        <v>8</v>
      </c>
      <c r="AH39" s="91">
        <v>7</v>
      </c>
      <c r="AI39" s="91" t="s">
        <v>41</v>
      </c>
      <c r="AJ39" s="91" t="s">
        <v>41</v>
      </c>
      <c r="AK39" s="282" t="s">
        <v>41</v>
      </c>
      <c r="AL39" s="91">
        <v>2</v>
      </c>
      <c r="AM39" s="91">
        <v>4</v>
      </c>
      <c r="AN39" s="282">
        <v>3</v>
      </c>
      <c r="AO39" s="92">
        <v>11500000</v>
      </c>
      <c r="AP39" s="282">
        <v>2</v>
      </c>
      <c r="AQ39" s="93">
        <f t="shared" si="16"/>
        <v>9.0833333333333339</v>
      </c>
      <c r="AR39" s="94" t="str">
        <f t="shared" si="17"/>
        <v>SuperStar</v>
      </c>
      <c r="AS39" s="93">
        <f t="shared" si="18"/>
        <v>9.0833333333333339</v>
      </c>
      <c r="AT39" s="93" t="str">
        <f t="shared" si="19"/>
        <v>SuperStar</v>
      </c>
      <c r="AU39" s="94">
        <f t="shared" si="20"/>
        <v>9.0833333333333339</v>
      </c>
      <c r="AV39" s="94" t="str">
        <f t="shared" si="21"/>
        <v>SuperStar</v>
      </c>
      <c r="AW39" s="95">
        <f t="shared" si="22"/>
        <v>0</v>
      </c>
      <c r="AX39" s="96">
        <f t="shared" si="23"/>
        <v>1</v>
      </c>
      <c r="AY39" s="96">
        <f t="shared" si="24"/>
        <v>1</v>
      </c>
      <c r="AZ39" s="96">
        <f t="shared" si="25"/>
        <v>1</v>
      </c>
      <c r="BA39" s="96">
        <f t="shared" si="26"/>
        <v>1</v>
      </c>
      <c r="BB39" s="96">
        <f t="shared" si="27"/>
        <v>1</v>
      </c>
      <c r="BC39" s="96">
        <f t="shared" si="28"/>
        <v>1</v>
      </c>
      <c r="BD39" s="96">
        <f t="shared" si="29"/>
        <v>1</v>
      </c>
      <c r="BE39" s="282">
        <f t="shared" si="30"/>
        <v>1</v>
      </c>
      <c r="BF39" s="95">
        <f t="shared" si="31"/>
        <v>0</v>
      </c>
      <c r="BG39" s="96">
        <f t="shared" si="32"/>
        <v>1</v>
      </c>
      <c r="BH39" s="96">
        <f t="shared" si="33"/>
        <v>1</v>
      </c>
      <c r="BI39" s="96">
        <f t="shared" si="34"/>
        <v>1</v>
      </c>
      <c r="BJ39" s="96">
        <f t="shared" si="35"/>
        <v>1</v>
      </c>
      <c r="BK39" s="96">
        <f t="shared" si="36"/>
        <v>1</v>
      </c>
      <c r="BL39" s="96">
        <f t="shared" si="37"/>
        <v>1</v>
      </c>
      <c r="BM39" s="96">
        <f t="shared" si="38"/>
        <v>1</v>
      </c>
      <c r="BN39" s="282">
        <f t="shared" si="39"/>
        <v>1</v>
      </c>
      <c r="BO39" s="282">
        <f t="shared" si="40"/>
        <v>0</v>
      </c>
      <c r="BP39" s="97">
        <f t="shared" si="41"/>
        <v>2</v>
      </c>
      <c r="BQ39" s="91" t="str">
        <f t="shared" si="42"/>
        <v/>
      </c>
      <c r="BR39" s="91">
        <f>IF(Q39="-","-",VLOOKUP($G39,CTBat!$G$10:$AN$89,BR$9,FALSE)-Q39)</f>
        <v>0</v>
      </c>
      <c r="BS39" s="91">
        <f>IF(R39="-","-",VLOOKUP($G39,CTBat!$G$10:$AN$89,BS$9,FALSE)-R39)</f>
        <v>0</v>
      </c>
      <c r="BT39" s="91">
        <f>IF(S39="-","-",VLOOKUP($G39,CTBat!$G$10:$AN$89,BT$9,FALSE)-S39)</f>
        <v>0</v>
      </c>
      <c r="BU39" s="91">
        <f>IF(T39="-","-",VLOOKUP($G39,CTBat!$G$10:$AN$89,BU$9,FALSE)-T39)</f>
        <v>0</v>
      </c>
      <c r="BV39" s="91">
        <f>IF(U39="-","-",VLOOKUP($G39,CTBat!$G$10:$AN$89,BV$9,FALSE)-U39)</f>
        <v>0</v>
      </c>
      <c r="BW39" s="91">
        <f>IF(V39="-","-",VLOOKUP($G39,CTBat!$G$10:$AN$89,BW$9,FALSE)-V39)</f>
        <v>0</v>
      </c>
      <c r="BX39" s="91">
        <f>IF(W39="-","-",VLOOKUP($G39,CTBat!$G$10:$AN$89,BX$9,FALSE)-W39)</f>
        <v>0</v>
      </c>
      <c r="BY39" s="91">
        <f>IF(X39="-","-",VLOOKUP($G39,CTBat!$G$10:$AN$89,BY$9,FALSE)-X39)</f>
        <v>0</v>
      </c>
      <c r="BZ39" s="91">
        <f>IF(Y39="-","-",VLOOKUP($G39,CTBat!$G$10:$AN$89,BZ$9,FALSE)-Y39)</f>
        <v>0</v>
      </c>
      <c r="CA39" s="91">
        <f>IF(Z39="-","-",VLOOKUP($G39,CTBat!$G$10:$AN$89,CA$9,FALSE)-Z39)</f>
        <v>0</v>
      </c>
      <c r="CB39" s="91">
        <f>IF(AA39="-","-",VLOOKUP($G39,CTBat!$G$10:$AN$89,CB$9,FALSE)-AA39)</f>
        <v>0</v>
      </c>
      <c r="CC39" s="91">
        <f>IF(AB39="-","-",VLOOKUP($G39,CTBat!$G$10:$AN$89,CC$9,FALSE)-AB39)</f>
        <v>0</v>
      </c>
      <c r="CD39" s="91">
        <f>IF(AC39="-","-",VLOOKUP($G39,CTBat!$G$10:$AN$89,CD$9,FALSE)-AC39)</f>
        <v>0</v>
      </c>
      <c r="CE39" s="91" t="str">
        <f>IF(AD39="-","-",VLOOKUP($G39,CTBat!$G$10:$AN$89,CE$9,FALSE)-AD39)</f>
        <v>-</v>
      </c>
      <c r="CF39" s="91" t="str">
        <f>IF(AE39="-","-",VLOOKUP($G39,CTBat!$G$10:$AN$89,CF$9,FALSE)-AE39)</f>
        <v>-</v>
      </c>
      <c r="CG39" s="91">
        <f>IF(AF39="-","-",VLOOKUP($G39,CTBat!$G$10:$AN$89,CG$9,FALSE)-AF39)</f>
        <v>0</v>
      </c>
      <c r="CH39" s="91">
        <f>IF(AG39="-","-",VLOOKUP($G39,CTBat!$G$10:$AN$89,CH$9,FALSE)-AG39)</f>
        <v>0</v>
      </c>
      <c r="CI39" s="91">
        <f>IF(AH39="-","-",VLOOKUP($G39,CTBat!$G$10:$AN$89,CI$9,FALSE)-AH39)</f>
        <v>0</v>
      </c>
      <c r="CJ39" s="91" t="str">
        <f>IF(AI39="-","-",VLOOKUP($G39,CTBat!$G$10:$AN$89,CJ$9,FALSE)-AI39)</f>
        <v>-</v>
      </c>
      <c r="CK39" s="91" t="str">
        <f>IF(AJ39="-","-",VLOOKUP($G39,CTBat!$G$10:$AN$89,CK$9,FALSE)-AJ39)</f>
        <v>-</v>
      </c>
      <c r="CL39" s="91" t="str">
        <f>IF(AK39="-","-",VLOOKUP($G39,CTBat!$G$10:$AN$89,CL$9,FALSE)-AK39)</f>
        <v>-</v>
      </c>
      <c r="CM39" s="91">
        <f>IF(AL39="-","-",VLOOKUP($G39,CTBat!$G$10:$AN$89,CM$9,FALSE)-AL39)</f>
        <v>0</v>
      </c>
      <c r="CN39" s="91">
        <f>IF(AM39="-","-",VLOOKUP($G39,CTBat!$G$10:$AN$89,CN$9,FALSE)-AM39)</f>
        <v>0</v>
      </c>
      <c r="CO39" s="91">
        <f>IF(AN39="-","-",VLOOKUP($G39,CTBat!$G$10:$AN$89,CO$9,FALSE)-AN39)</f>
        <v>0</v>
      </c>
      <c r="CP39" s="91">
        <f t="shared" si="43"/>
        <v>0</v>
      </c>
      <c r="CQ39" s="91">
        <f t="shared" si="44"/>
        <v>0</v>
      </c>
      <c r="CR39" s="91">
        <f t="shared" si="45"/>
        <v>0</v>
      </c>
      <c r="CS39" s="91">
        <f t="shared" si="46"/>
        <v>0</v>
      </c>
      <c r="CT39" s="91">
        <f t="shared" si="47"/>
        <v>0</v>
      </c>
    </row>
    <row r="40" spans="1:98">
      <c r="C40">
        <f t="shared" si="13"/>
        <v>1</v>
      </c>
      <c r="D40">
        <f t="shared" si="14"/>
        <v>1</v>
      </c>
      <c r="E40" t="str">
        <f t="shared" si="15"/>
        <v>K</v>
      </c>
      <c r="F40" t="s">
        <v>103</v>
      </c>
      <c r="G40" t="s">
        <v>395</v>
      </c>
      <c r="H40" t="s">
        <v>25</v>
      </c>
      <c r="I40" t="s">
        <v>212</v>
      </c>
      <c r="J40">
        <v>24</v>
      </c>
      <c r="K40" t="s">
        <v>106</v>
      </c>
      <c r="L40" t="s">
        <v>107</v>
      </c>
      <c r="M40" t="s">
        <v>48</v>
      </c>
      <c r="N40" s="281" t="s">
        <v>44</v>
      </c>
      <c r="O40" t="s">
        <v>228</v>
      </c>
      <c r="P40" s="281" t="s">
        <v>231</v>
      </c>
      <c r="Q40">
        <v>10</v>
      </c>
      <c r="R40">
        <v>7</v>
      </c>
      <c r="S40">
        <v>4</v>
      </c>
      <c r="T40">
        <v>6</v>
      </c>
      <c r="U40" s="281">
        <v>8</v>
      </c>
      <c r="V40">
        <v>10</v>
      </c>
      <c r="W40">
        <v>7</v>
      </c>
      <c r="X40">
        <v>5</v>
      </c>
      <c r="Y40">
        <v>6</v>
      </c>
      <c r="Z40" s="281">
        <v>8</v>
      </c>
      <c r="AA40">
        <v>1</v>
      </c>
      <c r="AB40">
        <v>10</v>
      </c>
      <c r="AC40">
        <v>1</v>
      </c>
      <c r="AD40" t="s">
        <v>41</v>
      </c>
      <c r="AE40" t="s">
        <v>41</v>
      </c>
      <c r="AF40" t="s">
        <v>41</v>
      </c>
      <c r="AG40" t="s">
        <v>41</v>
      </c>
      <c r="AH40" t="s">
        <v>41</v>
      </c>
      <c r="AI40">
        <v>7</v>
      </c>
      <c r="AJ40">
        <v>9</v>
      </c>
      <c r="AK40" s="281">
        <v>10</v>
      </c>
      <c r="AL40">
        <v>7</v>
      </c>
      <c r="AM40">
        <v>9</v>
      </c>
      <c r="AN40" s="281">
        <v>7</v>
      </c>
      <c r="AO40" s="85">
        <v>490000</v>
      </c>
      <c r="AP40" s="281" t="s">
        <v>45</v>
      </c>
      <c r="AQ40" s="6">
        <f t="shared" si="16"/>
        <v>7.166666666666667</v>
      </c>
      <c r="AR40" s="9" t="str">
        <f t="shared" si="17"/>
        <v>GoodReg</v>
      </c>
      <c r="AS40" s="6">
        <f t="shared" si="18"/>
        <v>7.5</v>
      </c>
      <c r="AT40" s="6" t="str">
        <f t="shared" si="19"/>
        <v>GoodReg</v>
      </c>
      <c r="AU40" s="9">
        <f t="shared" si="20"/>
        <v>7.5</v>
      </c>
      <c r="AV40" s="9" t="str">
        <f t="shared" si="21"/>
        <v>GoodReg</v>
      </c>
      <c r="AW40" s="53">
        <f t="shared" si="22"/>
        <v>1</v>
      </c>
      <c r="AX40" s="280">
        <f t="shared" si="23"/>
        <v>1</v>
      </c>
      <c r="AY40" s="280">
        <f t="shared" si="24"/>
        <v>0</v>
      </c>
      <c r="AZ40" s="280">
        <f t="shared" si="25"/>
        <v>0</v>
      </c>
      <c r="BA40" s="280">
        <f t="shared" si="26"/>
        <v>0</v>
      </c>
      <c r="BB40" s="280">
        <f t="shared" si="27"/>
        <v>1</v>
      </c>
      <c r="BC40" s="280">
        <f t="shared" si="28"/>
        <v>1</v>
      </c>
      <c r="BD40" s="280">
        <f t="shared" si="29"/>
        <v>1</v>
      </c>
      <c r="BE40" s="281">
        <f t="shared" si="30"/>
        <v>1</v>
      </c>
      <c r="BF40" s="53">
        <f t="shared" si="31"/>
        <v>1</v>
      </c>
      <c r="BG40" s="280">
        <f t="shared" si="32"/>
        <v>1</v>
      </c>
      <c r="BH40" s="280">
        <f t="shared" si="33"/>
        <v>0</v>
      </c>
      <c r="BI40" s="280">
        <f t="shared" si="34"/>
        <v>0</v>
      </c>
      <c r="BJ40" s="280">
        <f t="shared" si="35"/>
        <v>0</v>
      </c>
      <c r="BK40" s="280">
        <f t="shared" si="36"/>
        <v>1</v>
      </c>
      <c r="BL40" s="280">
        <f t="shared" si="37"/>
        <v>1</v>
      </c>
      <c r="BM40" s="280">
        <f t="shared" si="38"/>
        <v>1</v>
      </c>
      <c r="BN40" s="281">
        <f t="shared" si="39"/>
        <v>1</v>
      </c>
      <c r="BO40" s="281">
        <f t="shared" si="40"/>
        <v>3</v>
      </c>
      <c r="BP40" s="7">
        <f t="shared" si="41"/>
        <v>2</v>
      </c>
      <c r="BQ40" t="str">
        <f t="shared" si="42"/>
        <v/>
      </c>
      <c r="BR40" s="91">
        <f>IF(Q40="-","-",VLOOKUP($G40,CTBat!$G$10:$AN$89,BR$9,FALSE)-Q40)</f>
        <v>0</v>
      </c>
      <c r="BS40" s="91">
        <f>IF(R40="-","-",VLOOKUP($G40,CTBat!$G$10:$AN$89,BS$9,FALSE)-R40)</f>
        <v>0</v>
      </c>
      <c r="BT40" s="91">
        <f>IF(S40="-","-",VLOOKUP($G40,CTBat!$G$10:$AN$89,BT$9,FALSE)-S40)</f>
        <v>0</v>
      </c>
      <c r="BU40" s="91">
        <f>IF(T40="-","-",VLOOKUP($G40,CTBat!$G$10:$AN$89,BU$9,FALSE)-T40)</f>
        <v>0</v>
      </c>
      <c r="BV40" s="91">
        <f>IF(U40="-","-",VLOOKUP($G40,CTBat!$G$10:$AN$89,BV$9,FALSE)-U40)</f>
        <v>0</v>
      </c>
      <c r="BW40" s="91">
        <f>IF(V40="-","-",VLOOKUP($G40,CTBat!$G$10:$AN$89,BW$9,FALSE)-V40)</f>
        <v>0</v>
      </c>
      <c r="BX40" s="91">
        <f>IF(W40="-","-",VLOOKUP($G40,CTBat!$G$10:$AN$89,BX$9,FALSE)-W40)</f>
        <v>0</v>
      </c>
      <c r="BY40" s="91">
        <f>IF(X40="-","-",VLOOKUP($G40,CTBat!$G$10:$AN$89,BY$9,FALSE)-X40)</f>
        <v>0</v>
      </c>
      <c r="BZ40" s="91">
        <f>IF(Y40="-","-",VLOOKUP($G40,CTBat!$G$10:$AN$89,BZ$9,FALSE)-Y40)</f>
        <v>0</v>
      </c>
      <c r="CA40" s="91">
        <f>IF(Z40="-","-",VLOOKUP($G40,CTBat!$G$10:$AN$89,CA$9,FALSE)-Z40)</f>
        <v>0</v>
      </c>
      <c r="CB40" s="91">
        <f>IF(AA40="-","-",VLOOKUP($G40,CTBat!$G$10:$AN$89,CB$9,FALSE)-AA40)</f>
        <v>0</v>
      </c>
      <c r="CC40" s="91">
        <f>IF(AB40="-","-",VLOOKUP($G40,CTBat!$G$10:$AN$89,CC$9,FALSE)-AB40)</f>
        <v>0</v>
      </c>
      <c r="CD40" s="91">
        <f>IF(AC40="-","-",VLOOKUP($G40,CTBat!$G$10:$AN$89,CD$9,FALSE)-AC40)</f>
        <v>0</v>
      </c>
      <c r="CE40" s="91" t="str">
        <f>IF(AD40="-","-",VLOOKUP($G40,CTBat!$G$10:$AN$89,CE$9,FALSE)-AD40)</f>
        <v>-</v>
      </c>
      <c r="CF40" s="91" t="str">
        <f>IF(AE40="-","-",VLOOKUP($G40,CTBat!$G$10:$AN$89,CF$9,FALSE)-AE40)</f>
        <v>-</v>
      </c>
      <c r="CG40" s="91" t="str">
        <f>IF(AF40="-","-",VLOOKUP($G40,CTBat!$G$10:$AN$89,CG$9,FALSE)-AF40)</f>
        <v>-</v>
      </c>
      <c r="CH40" s="91" t="str">
        <f>IF(AG40="-","-",VLOOKUP($G40,CTBat!$G$10:$AN$89,CH$9,FALSE)-AG40)</f>
        <v>-</v>
      </c>
      <c r="CI40" s="91" t="str">
        <f>IF(AH40="-","-",VLOOKUP($G40,CTBat!$G$10:$AN$89,CI$9,FALSE)-AH40)</f>
        <v>-</v>
      </c>
      <c r="CJ40" s="91">
        <f>IF(AI40="-","-",VLOOKUP($G40,CTBat!$G$10:$AN$89,CJ$9,FALSE)-AI40)</f>
        <v>0</v>
      </c>
      <c r="CK40" s="91">
        <f>IF(AJ40="-","-",VLOOKUP($G40,CTBat!$G$10:$AN$89,CK$9,FALSE)-AJ40)</f>
        <v>0</v>
      </c>
      <c r="CL40" s="91">
        <f>IF(AK40="-","-",VLOOKUP($G40,CTBat!$G$10:$AN$89,CL$9,FALSE)-AK40)</f>
        <v>0</v>
      </c>
      <c r="CM40" s="91">
        <f>IF(AL40="-","-",VLOOKUP($G40,CTBat!$G$10:$AN$89,CM$9,FALSE)-AL40)</f>
        <v>0</v>
      </c>
      <c r="CN40" s="91">
        <f>IF(AM40="-","-",VLOOKUP($G40,CTBat!$G$10:$AN$89,CN$9,FALSE)-AM40)</f>
        <v>0</v>
      </c>
      <c r="CO40" s="91">
        <f>IF(AN40="-","-",VLOOKUP($G40,CTBat!$G$10:$AN$89,CO$9,FALSE)-AN40)</f>
        <v>0</v>
      </c>
      <c r="CP40" s="91">
        <f t="shared" si="43"/>
        <v>0</v>
      </c>
      <c r="CQ40" s="91">
        <f t="shared" si="44"/>
        <v>0</v>
      </c>
      <c r="CR40" s="91">
        <f t="shared" si="45"/>
        <v>0</v>
      </c>
      <c r="CS40" s="91">
        <f t="shared" si="46"/>
        <v>0</v>
      </c>
      <c r="CT40" s="91">
        <f t="shared" si="47"/>
        <v>0</v>
      </c>
    </row>
    <row r="41" spans="1:98">
      <c r="C41">
        <f t="shared" si="13"/>
        <v>7</v>
      </c>
      <c r="D41">
        <f t="shared" si="14"/>
        <v>7</v>
      </c>
      <c r="E41" t="str">
        <f t="shared" si="15"/>
        <v>K</v>
      </c>
      <c r="F41" t="s">
        <v>97</v>
      </c>
      <c r="G41" t="s">
        <v>428</v>
      </c>
      <c r="H41" t="s">
        <v>25</v>
      </c>
      <c r="I41" t="s">
        <v>212</v>
      </c>
      <c r="J41">
        <v>28</v>
      </c>
      <c r="K41" t="s">
        <v>106</v>
      </c>
      <c r="L41" t="s">
        <v>106</v>
      </c>
      <c r="M41" t="s">
        <v>42</v>
      </c>
      <c r="N41" s="216" t="s">
        <v>42</v>
      </c>
      <c r="O41" t="s">
        <v>231</v>
      </c>
      <c r="P41" s="216" t="s">
        <v>229</v>
      </c>
      <c r="Q41">
        <v>6</v>
      </c>
      <c r="R41">
        <v>6</v>
      </c>
      <c r="S41">
        <v>8</v>
      </c>
      <c r="T41">
        <v>6</v>
      </c>
      <c r="U41" s="216">
        <v>4</v>
      </c>
      <c r="V41">
        <v>6</v>
      </c>
      <c r="W41">
        <v>6</v>
      </c>
      <c r="X41">
        <v>8</v>
      </c>
      <c r="Y41">
        <v>6</v>
      </c>
      <c r="Z41" s="216">
        <v>4</v>
      </c>
      <c r="AA41">
        <v>3</v>
      </c>
      <c r="AB41">
        <v>3</v>
      </c>
      <c r="AC41">
        <v>1</v>
      </c>
      <c r="AD41" t="s">
        <v>41</v>
      </c>
      <c r="AE41">
        <v>7</v>
      </c>
      <c r="AF41" t="s">
        <v>41</v>
      </c>
      <c r="AG41" t="s">
        <v>41</v>
      </c>
      <c r="AH41" t="s">
        <v>41</v>
      </c>
      <c r="AI41" t="s">
        <v>41</v>
      </c>
      <c r="AJ41" t="s">
        <v>41</v>
      </c>
      <c r="AK41" s="216" t="s">
        <v>41</v>
      </c>
      <c r="AL41">
        <v>1</v>
      </c>
      <c r="AM41">
        <v>2</v>
      </c>
      <c r="AN41" s="216">
        <v>1</v>
      </c>
      <c r="AO41" s="85">
        <v>864000</v>
      </c>
      <c r="AP41" s="216" t="s">
        <v>46</v>
      </c>
      <c r="AQ41" s="6">
        <f t="shared" si="16"/>
        <v>7.416666666666667</v>
      </c>
      <c r="AR41" s="9" t="str">
        <f t="shared" si="17"/>
        <v>GoodReg</v>
      </c>
      <c r="AS41" s="6">
        <f t="shared" si="18"/>
        <v>7.416666666666667</v>
      </c>
      <c r="AT41" s="6" t="str">
        <f t="shared" si="19"/>
        <v>GoodReg</v>
      </c>
      <c r="AU41" s="9">
        <f t="shared" si="20"/>
        <v>7.416666666666667</v>
      </c>
      <c r="AV41" s="9" t="str">
        <f t="shared" si="21"/>
        <v>GoodReg</v>
      </c>
      <c r="AW41" s="53">
        <f t="shared" si="22"/>
        <v>0</v>
      </c>
      <c r="AX41" s="215">
        <f t="shared" si="23"/>
        <v>0</v>
      </c>
      <c r="AY41" s="215">
        <f t="shared" si="24"/>
        <v>0</v>
      </c>
      <c r="AZ41" s="215">
        <f t="shared" si="25"/>
        <v>0</v>
      </c>
      <c r="BA41" s="215">
        <f t="shared" si="26"/>
        <v>0</v>
      </c>
      <c r="BB41" s="215">
        <f t="shared" si="27"/>
        <v>0</v>
      </c>
      <c r="BC41" s="215">
        <f t="shared" si="28"/>
        <v>1</v>
      </c>
      <c r="BD41" s="215">
        <f t="shared" si="29"/>
        <v>1</v>
      </c>
      <c r="BE41" s="216">
        <f t="shared" si="30"/>
        <v>1</v>
      </c>
      <c r="BF41" s="53">
        <f t="shared" si="31"/>
        <v>0</v>
      </c>
      <c r="BG41" s="215">
        <f t="shared" si="32"/>
        <v>0</v>
      </c>
      <c r="BH41" s="215">
        <f t="shared" si="33"/>
        <v>0</v>
      </c>
      <c r="BI41" s="215">
        <f t="shared" si="34"/>
        <v>0</v>
      </c>
      <c r="BJ41" s="215">
        <f t="shared" si="35"/>
        <v>0</v>
      </c>
      <c r="BK41" s="215">
        <f t="shared" si="36"/>
        <v>0</v>
      </c>
      <c r="BL41" s="215">
        <f t="shared" si="37"/>
        <v>1</v>
      </c>
      <c r="BM41" s="215">
        <f t="shared" si="38"/>
        <v>1</v>
      </c>
      <c r="BN41" s="216">
        <f t="shared" si="39"/>
        <v>1</v>
      </c>
      <c r="BO41" s="216">
        <f t="shared" si="40"/>
        <v>0</v>
      </c>
      <c r="BP41" s="7">
        <f t="shared" si="41"/>
        <v>2</v>
      </c>
      <c r="BQ41" t="str">
        <f t="shared" si="42"/>
        <v/>
      </c>
      <c r="BR41" s="91">
        <f>IF(Q41="-","-",VLOOKUP($G41,CTBat!$G$10:$AN$89,BR$9,FALSE)-Q41)</f>
        <v>0</v>
      </c>
      <c r="BS41" s="91">
        <f>IF(R41="-","-",VLOOKUP($G41,CTBat!$G$10:$AN$89,BS$9,FALSE)-R41)</f>
        <v>0</v>
      </c>
      <c r="BT41" s="91">
        <f>IF(S41="-","-",VLOOKUP($G41,CTBat!$G$10:$AN$89,BT$9,FALSE)-S41)</f>
        <v>0</v>
      </c>
      <c r="BU41" s="91">
        <f>IF(T41="-","-",VLOOKUP($G41,CTBat!$G$10:$AN$89,BU$9,FALSE)-T41)</f>
        <v>0</v>
      </c>
      <c r="BV41" s="91">
        <f>IF(U41="-","-",VLOOKUP($G41,CTBat!$G$10:$AN$89,BV$9,FALSE)-U41)</f>
        <v>0</v>
      </c>
      <c r="BW41" s="91">
        <f>IF(V41="-","-",VLOOKUP($G41,CTBat!$G$10:$AN$89,BW$9,FALSE)-V41)</f>
        <v>0</v>
      </c>
      <c r="BX41" s="91">
        <f>IF(W41="-","-",VLOOKUP($G41,CTBat!$G$10:$AN$89,BX$9,FALSE)-W41)</f>
        <v>0</v>
      </c>
      <c r="BY41" s="91">
        <f>IF(X41="-","-",VLOOKUP($G41,CTBat!$G$10:$AN$89,BY$9,FALSE)-X41)</f>
        <v>0</v>
      </c>
      <c r="BZ41" s="91">
        <f>IF(Y41="-","-",VLOOKUP($G41,CTBat!$G$10:$AN$89,BZ$9,FALSE)-Y41)</f>
        <v>0</v>
      </c>
      <c r="CA41" s="91">
        <f>IF(Z41="-","-",VLOOKUP($G41,CTBat!$G$10:$AN$89,CA$9,FALSE)-Z41)</f>
        <v>0</v>
      </c>
      <c r="CB41" s="91">
        <f>IF(AA41="-","-",VLOOKUP($G41,CTBat!$G$10:$AN$89,CB$9,FALSE)-AA41)</f>
        <v>0</v>
      </c>
      <c r="CC41" s="91">
        <f>IF(AB41="-","-",VLOOKUP($G41,CTBat!$G$10:$AN$89,CC$9,FALSE)-AB41)</f>
        <v>0</v>
      </c>
      <c r="CD41" s="91">
        <f>IF(AC41="-","-",VLOOKUP($G41,CTBat!$G$10:$AN$89,CD$9,FALSE)-AC41)</f>
        <v>0</v>
      </c>
      <c r="CE41" s="91" t="str">
        <f>IF(AD41="-","-",VLOOKUP($G41,CTBat!$G$10:$AN$89,CE$9,FALSE)-AD41)</f>
        <v>-</v>
      </c>
      <c r="CF41" s="91">
        <f>IF(AE41="-","-",VLOOKUP($G41,CTBat!$G$10:$AN$89,CF$9,FALSE)-AE41)</f>
        <v>0</v>
      </c>
      <c r="CG41" s="91" t="str">
        <f>IF(AF41="-","-",VLOOKUP($G41,CTBat!$G$10:$AN$89,CG$9,FALSE)-AF41)</f>
        <v>-</v>
      </c>
      <c r="CH41" s="91" t="str">
        <f>IF(AG41="-","-",VLOOKUP($G41,CTBat!$G$10:$AN$89,CH$9,FALSE)-AG41)</f>
        <v>-</v>
      </c>
      <c r="CI41" s="91" t="str">
        <f>IF(AH41="-","-",VLOOKUP($G41,CTBat!$G$10:$AN$89,CI$9,FALSE)-AH41)</f>
        <v>-</v>
      </c>
      <c r="CJ41" s="91" t="str">
        <f>IF(AI41="-","-",VLOOKUP($G41,CTBat!$G$10:$AN$89,CJ$9,FALSE)-AI41)</f>
        <v>-</v>
      </c>
      <c r="CK41" s="91" t="str">
        <f>IF(AJ41="-","-",VLOOKUP($G41,CTBat!$G$10:$AN$89,CK$9,FALSE)-AJ41)</f>
        <v>-</v>
      </c>
      <c r="CL41" s="91" t="str">
        <f>IF(AK41="-","-",VLOOKUP($G41,CTBat!$G$10:$AN$89,CL$9,FALSE)-AK41)</f>
        <v>-</v>
      </c>
      <c r="CM41" s="91">
        <f>IF(AL41="-","-",VLOOKUP($G41,CTBat!$G$10:$AN$89,CM$9,FALSE)-AL41)</f>
        <v>0</v>
      </c>
      <c r="CN41" s="91">
        <f>IF(AM41="-","-",VLOOKUP($G41,CTBat!$G$10:$AN$89,CN$9,FALSE)-AM41)</f>
        <v>0</v>
      </c>
      <c r="CO41" s="91">
        <f>IF(AN41="-","-",VLOOKUP($G41,CTBat!$G$10:$AN$89,CO$9,FALSE)-AN41)</f>
        <v>0</v>
      </c>
      <c r="CP41" s="91">
        <f t="shared" si="43"/>
        <v>0</v>
      </c>
      <c r="CQ41" s="91">
        <f t="shared" si="44"/>
        <v>0</v>
      </c>
      <c r="CR41" s="91">
        <f t="shared" si="45"/>
        <v>0</v>
      </c>
      <c r="CS41" s="91">
        <f t="shared" si="46"/>
        <v>0</v>
      </c>
      <c r="CT41" s="91">
        <f t="shared" si="47"/>
        <v>0</v>
      </c>
    </row>
    <row r="42" spans="1:98">
      <c r="C42">
        <f t="shared" si="13"/>
        <v>7</v>
      </c>
      <c r="D42">
        <f t="shared" si="14"/>
        <v>7</v>
      </c>
      <c r="E42" t="str">
        <f t="shared" si="15"/>
        <v>K</v>
      </c>
      <c r="F42" t="s">
        <v>95</v>
      </c>
      <c r="G42" t="s">
        <v>93</v>
      </c>
      <c r="H42" t="s">
        <v>25</v>
      </c>
      <c r="I42" t="s">
        <v>212</v>
      </c>
      <c r="J42">
        <v>28</v>
      </c>
      <c r="K42" t="s">
        <v>107</v>
      </c>
      <c r="L42" t="s">
        <v>107</v>
      </c>
      <c r="M42" t="s">
        <v>40</v>
      </c>
      <c r="N42" s="281" t="s">
        <v>40</v>
      </c>
      <c r="O42" t="s">
        <v>229</v>
      </c>
      <c r="P42" s="281" t="s">
        <v>230</v>
      </c>
      <c r="Q42">
        <v>6</v>
      </c>
      <c r="R42">
        <v>9</v>
      </c>
      <c r="S42">
        <v>7</v>
      </c>
      <c r="T42">
        <v>6</v>
      </c>
      <c r="U42" s="281">
        <v>7</v>
      </c>
      <c r="V42">
        <v>6</v>
      </c>
      <c r="W42">
        <v>9</v>
      </c>
      <c r="X42">
        <v>7</v>
      </c>
      <c r="Y42">
        <v>6</v>
      </c>
      <c r="Z42" s="281">
        <v>7</v>
      </c>
      <c r="AA42">
        <v>8</v>
      </c>
      <c r="AB42">
        <v>8</v>
      </c>
      <c r="AC42">
        <v>10</v>
      </c>
      <c r="AD42">
        <v>10</v>
      </c>
      <c r="AE42">
        <v>1</v>
      </c>
      <c r="AF42" t="s">
        <v>41</v>
      </c>
      <c r="AG42" t="s">
        <v>41</v>
      </c>
      <c r="AH42" t="s">
        <v>41</v>
      </c>
      <c r="AI42" t="s">
        <v>41</v>
      </c>
      <c r="AJ42" t="s">
        <v>41</v>
      </c>
      <c r="AK42" s="281" t="s">
        <v>41</v>
      </c>
      <c r="AL42">
        <v>3</v>
      </c>
      <c r="AM42">
        <v>3</v>
      </c>
      <c r="AN42" s="281">
        <v>4</v>
      </c>
      <c r="AO42" s="85">
        <v>5400000</v>
      </c>
      <c r="AP42" s="281">
        <v>1</v>
      </c>
      <c r="AQ42" s="6">
        <f t="shared" si="16"/>
        <v>6.833333333333333</v>
      </c>
      <c r="AR42" s="9" t="str">
        <f t="shared" si="17"/>
        <v>GoodReg</v>
      </c>
      <c r="AS42" s="6">
        <f t="shared" si="18"/>
        <v>6.833333333333333</v>
      </c>
      <c r="AT42" s="6" t="str">
        <f t="shared" si="19"/>
        <v>GoodReg</v>
      </c>
      <c r="AU42" s="9">
        <f t="shared" si="20"/>
        <v>6.833333333333333</v>
      </c>
      <c r="AV42" s="9" t="str">
        <f t="shared" si="21"/>
        <v>GoodReg</v>
      </c>
      <c r="AW42" s="53">
        <f t="shared" si="22"/>
        <v>0</v>
      </c>
      <c r="AX42" s="280">
        <f t="shared" si="23"/>
        <v>0</v>
      </c>
      <c r="AY42" s="280">
        <f t="shared" si="24"/>
        <v>0</v>
      </c>
      <c r="AZ42" s="280">
        <f t="shared" si="25"/>
        <v>0</v>
      </c>
      <c r="BA42" s="280">
        <f t="shared" si="26"/>
        <v>0</v>
      </c>
      <c r="BB42" s="280">
        <f t="shared" si="27"/>
        <v>0</v>
      </c>
      <c r="BC42" s="280">
        <f t="shared" si="28"/>
        <v>1</v>
      </c>
      <c r="BD42" s="280">
        <f t="shared" si="29"/>
        <v>1</v>
      </c>
      <c r="BE42" s="281">
        <f t="shared" si="30"/>
        <v>1</v>
      </c>
      <c r="BF42" s="53">
        <f t="shared" si="31"/>
        <v>0</v>
      </c>
      <c r="BG42" s="280">
        <f t="shared" si="32"/>
        <v>0</v>
      </c>
      <c r="BH42" s="280">
        <f t="shared" si="33"/>
        <v>0</v>
      </c>
      <c r="BI42" s="280">
        <f t="shared" si="34"/>
        <v>0</v>
      </c>
      <c r="BJ42" s="280">
        <f t="shared" si="35"/>
        <v>0</v>
      </c>
      <c r="BK42" s="280">
        <f t="shared" si="36"/>
        <v>0</v>
      </c>
      <c r="BL42" s="280">
        <f t="shared" si="37"/>
        <v>1</v>
      </c>
      <c r="BM42" s="280">
        <f t="shared" si="38"/>
        <v>1</v>
      </c>
      <c r="BN42" s="281">
        <f t="shared" si="39"/>
        <v>1</v>
      </c>
      <c r="BO42" s="281">
        <f t="shared" si="40"/>
        <v>0</v>
      </c>
      <c r="BP42" s="7">
        <f t="shared" si="41"/>
        <v>2</v>
      </c>
      <c r="BQ42" t="str">
        <f t="shared" si="42"/>
        <v>Yes</v>
      </c>
      <c r="BR42" s="91">
        <f>IF(Q42="-","-",VLOOKUP($G42,CTBat!$G$10:$AN$89,BR$9,FALSE)-Q42)</f>
        <v>0</v>
      </c>
      <c r="BS42" s="91">
        <f>IF(R42="-","-",VLOOKUP($G42,CTBat!$G$10:$AN$89,BS$9,FALSE)-R42)</f>
        <v>0</v>
      </c>
      <c r="BT42" s="91">
        <f>IF(S42="-","-",VLOOKUP($G42,CTBat!$G$10:$AN$89,BT$9,FALSE)-S42)</f>
        <v>0</v>
      </c>
      <c r="BU42" s="91">
        <f>IF(T42="-","-",VLOOKUP($G42,CTBat!$G$10:$AN$89,BU$9,FALSE)-T42)</f>
        <v>0</v>
      </c>
      <c r="BV42" s="91">
        <f>IF(U42="-","-",VLOOKUP($G42,CTBat!$G$10:$AN$89,BV$9,FALSE)-U42)</f>
        <v>0</v>
      </c>
      <c r="BW42" s="91">
        <f>IF(V42="-","-",VLOOKUP($G42,CTBat!$G$10:$AN$89,BW$9,FALSE)-V42)</f>
        <v>0</v>
      </c>
      <c r="BX42" s="91">
        <f>IF(W42="-","-",VLOOKUP($G42,CTBat!$G$10:$AN$89,BX$9,FALSE)-W42)</f>
        <v>0</v>
      </c>
      <c r="BY42" s="91">
        <f>IF(X42="-","-",VLOOKUP($G42,CTBat!$G$10:$AN$89,BY$9,FALSE)-X42)</f>
        <v>0</v>
      </c>
      <c r="BZ42" s="91">
        <f>IF(Y42="-","-",VLOOKUP($G42,CTBat!$G$10:$AN$89,BZ$9,FALSE)-Y42)</f>
        <v>0</v>
      </c>
      <c r="CA42" s="91">
        <f>IF(Z42="-","-",VLOOKUP($G42,CTBat!$G$10:$AN$89,CA$9,FALSE)-Z42)</f>
        <v>0</v>
      </c>
      <c r="CB42" s="91">
        <f>IF(AA42="-","-",VLOOKUP($G42,CTBat!$G$10:$AN$89,CB$9,FALSE)-AA42)</f>
        <v>0</v>
      </c>
      <c r="CC42" s="91">
        <f>IF(AB42="-","-",VLOOKUP($G42,CTBat!$G$10:$AN$89,CC$9,FALSE)-AB42)</f>
        <v>0</v>
      </c>
      <c r="CD42" s="91">
        <f>IF(AC42="-","-",VLOOKUP($G42,CTBat!$G$10:$AN$89,CD$9,FALSE)-AC42)</f>
        <v>0</v>
      </c>
      <c r="CE42" s="91">
        <f>IF(AD42="-","-",VLOOKUP($G42,CTBat!$G$10:$AN$89,CE$9,FALSE)-AD42)</f>
        <v>0</v>
      </c>
      <c r="CF42" s="91">
        <f>IF(AE42="-","-",VLOOKUP($G42,CTBat!$G$10:$AN$89,CF$9,FALSE)-AE42)</f>
        <v>0</v>
      </c>
      <c r="CG42" s="91" t="str">
        <f>IF(AF42="-","-",VLOOKUP($G42,CTBat!$G$10:$AN$89,CG$9,FALSE)-AF42)</f>
        <v>-</v>
      </c>
      <c r="CH42" s="91" t="str">
        <f>IF(AG42="-","-",VLOOKUP($G42,CTBat!$G$10:$AN$89,CH$9,FALSE)-AG42)</f>
        <v>-</v>
      </c>
      <c r="CI42" s="91" t="str">
        <f>IF(AH42="-","-",VLOOKUP($G42,CTBat!$G$10:$AN$89,CI$9,FALSE)-AH42)</f>
        <v>-</v>
      </c>
      <c r="CJ42" s="91" t="str">
        <f>IF(AI42="-","-",VLOOKUP($G42,CTBat!$G$10:$AN$89,CJ$9,FALSE)-AI42)</f>
        <v>-</v>
      </c>
      <c r="CK42" s="91" t="str">
        <f>IF(AJ42="-","-",VLOOKUP($G42,CTBat!$G$10:$AN$89,CK$9,FALSE)-AJ42)</f>
        <v>-</v>
      </c>
      <c r="CL42" s="91" t="str">
        <f>IF(AK42="-","-",VLOOKUP($G42,CTBat!$G$10:$AN$89,CL$9,FALSE)-AK42)</f>
        <v>-</v>
      </c>
      <c r="CM42" s="91">
        <f>IF(AL42="-","-",VLOOKUP($G42,CTBat!$G$10:$AN$89,CM$9,FALSE)-AL42)</f>
        <v>0</v>
      </c>
      <c r="CN42" s="91">
        <f>IF(AM42="-","-",VLOOKUP($G42,CTBat!$G$10:$AN$89,CN$9,FALSE)-AM42)</f>
        <v>0</v>
      </c>
      <c r="CO42" s="91">
        <f>IF(AN42="-","-",VLOOKUP($G42,CTBat!$G$10:$AN$89,CO$9,FALSE)-AN42)</f>
        <v>0</v>
      </c>
      <c r="CP42" s="91">
        <f t="shared" si="43"/>
        <v>0</v>
      </c>
      <c r="CQ42" s="91">
        <f t="shared" si="44"/>
        <v>0</v>
      </c>
      <c r="CR42" s="91">
        <f t="shared" si="45"/>
        <v>0</v>
      </c>
      <c r="CS42" s="91">
        <f t="shared" si="46"/>
        <v>0</v>
      </c>
      <c r="CT42" s="91">
        <f t="shared" si="47"/>
        <v>0</v>
      </c>
    </row>
    <row r="43" spans="1:98">
      <c r="C43">
        <f t="shared" ref="C43:C74" si="48">IF(BH43=1,3,IF(BI43=1,4,IF(BF43=1,1,IF(BJ43=1,5,IF(BG43=1,2,IF(BK43=1,6,IF(BL43=1,7,IF(BM43=1,8,IF(BN43=1,9,"-")))))))))</f>
        <v>2</v>
      </c>
      <c r="D43">
        <f t="shared" ref="D43:D74" si="49">IF(AY43=1,3,IF(AZ43=1,4,IF(AW43=1,1,IF(BA43=1,5,IF(AX43=1,2,IF(BB43=1,6,IF(BC43=1,7,IF(BD43=1,8,IF(BE43=1,9,"-")))))))))</f>
        <v>2</v>
      </c>
      <c r="E43" t="str">
        <f t="shared" ref="E43:E74" si="50">IF(OR(O43&gt;7,AND(O43&gt;4,P43&gt;5)),"K","T")</f>
        <v>K</v>
      </c>
      <c r="F43" t="s">
        <v>98</v>
      </c>
      <c r="G43" t="s">
        <v>51</v>
      </c>
      <c r="H43" t="s">
        <v>25</v>
      </c>
      <c r="I43" t="s">
        <v>212</v>
      </c>
      <c r="J43">
        <v>28</v>
      </c>
      <c r="K43" t="s">
        <v>107</v>
      </c>
      <c r="L43" t="s">
        <v>107</v>
      </c>
      <c r="M43" t="s">
        <v>47</v>
      </c>
      <c r="N43" s="3" t="s">
        <v>42</v>
      </c>
      <c r="O43" t="s">
        <v>229</v>
      </c>
      <c r="P43" s="3" t="s">
        <v>230</v>
      </c>
      <c r="Q43">
        <v>7</v>
      </c>
      <c r="R43">
        <v>6</v>
      </c>
      <c r="S43">
        <v>5</v>
      </c>
      <c r="T43">
        <v>7</v>
      </c>
      <c r="U43" s="3">
        <v>8</v>
      </c>
      <c r="V43">
        <v>7</v>
      </c>
      <c r="W43">
        <v>6</v>
      </c>
      <c r="X43">
        <v>5</v>
      </c>
      <c r="Y43">
        <v>7</v>
      </c>
      <c r="Z43" s="3">
        <v>8</v>
      </c>
      <c r="AA43">
        <v>5</v>
      </c>
      <c r="AB43">
        <v>3</v>
      </c>
      <c r="AC43">
        <v>1</v>
      </c>
      <c r="AD43" t="s">
        <v>41</v>
      </c>
      <c r="AE43">
        <v>8</v>
      </c>
      <c r="AF43">
        <v>7</v>
      </c>
      <c r="AG43">
        <v>4</v>
      </c>
      <c r="AH43">
        <v>2</v>
      </c>
      <c r="AI43" t="s">
        <v>41</v>
      </c>
      <c r="AJ43" t="s">
        <v>41</v>
      </c>
      <c r="AK43" s="3" t="s">
        <v>41</v>
      </c>
      <c r="AL43">
        <v>3</v>
      </c>
      <c r="AM43">
        <v>4</v>
      </c>
      <c r="AN43" s="3">
        <v>3</v>
      </c>
      <c r="AO43" s="85">
        <v>490000</v>
      </c>
      <c r="AP43" s="3" t="s">
        <v>45</v>
      </c>
      <c r="AQ43" s="6">
        <f t="shared" ref="AQ43:AQ74" si="51">AVERAGE(Q43,S43,T43)+IF(OR(Q43&gt;7,AND(Q43&gt;5,T43&gt;5)),0.5,0)+IF(S43&gt;7,0.25,0)+IF(Q43&lt;6,-0.5*(6-Q43),0)</f>
        <v>6.833333333333333</v>
      </c>
      <c r="AR43" s="9" t="str">
        <f t="shared" ref="AR43:AR74" si="52">IF(AQ43&gt;9,"SuperStar",IF(AQ43&gt;8,"Star",IF(AQ43&gt;6.5,"GoodReg",IF(AQ43&gt;5,"Reg",IF(AQ43&gt;4,"Bench","Minors")))))</f>
        <v>GoodReg</v>
      </c>
      <c r="AS43" s="6">
        <f t="shared" ref="AS43:AS74" si="53">AVERAGE(V43,X43,Y43)+IF(OR(V43&gt;7,AND(V43&gt;5,Y43&gt;5)),0.5,0)+IF(X43&gt;7,0.25,0)+IF(V43&lt;6,-0.5*(6-V43),0)</f>
        <v>6.833333333333333</v>
      </c>
      <c r="AT43" s="6" t="str">
        <f t="shared" ref="AT43:AT74" si="54">IF(AS43&gt;9,"SuperStar",IF(AS43&gt;8,"Star",IF(AS43&gt;6.5,"GoodReg",IF(AS43&gt;5,"Reg",IF(AS43&gt;4,"Bench","Minors")))))</f>
        <v>GoodReg</v>
      </c>
      <c r="AU43" s="9">
        <f t="shared" ref="AU43:AU74" si="55">MIN(AQ43+(MAX(0,25-J43))^1.5,AS43)</f>
        <v>6.833333333333333</v>
      </c>
      <c r="AV43" s="9" t="str">
        <f t="shared" ref="AV43:AV74" si="56">IF(AU43&gt;9,"SuperStar",IF(AU43&gt;8,"Star",IF(AU43&gt;6.5,"GoodReg",IF(AU43&gt;5,"Reg",IF(AU43&gt;4,"Bench","Minors")))))</f>
        <v>GoodReg</v>
      </c>
      <c r="AW43" s="53">
        <f t="shared" ref="AW43:AW74" si="57">IF(AND(OR(Q43+T43&gt;12,AND(Q43&gt;6,T43&gt;6)),AL43&gt;6,OR(AM43&gt;=AL43,AM43&gt;6)),1,0)</f>
        <v>0</v>
      </c>
      <c r="AX43" s="5">
        <f t="shared" ref="AX43:AX74" si="58">IF(OR(AND(Q43&gt;6,U43&gt;6),Q43+T43&gt;12),1,0)</f>
        <v>1</v>
      </c>
      <c r="AY43" s="5">
        <f t="shared" ref="AY43:AY74" si="59">IF(AND(Q43&gt;6,S43&gt;6,T43&gt;6),1,0)</f>
        <v>0</v>
      </c>
      <c r="AZ43" s="5">
        <f t="shared" ref="AZ43:AZ74" si="60">IF(AND(S43&gt;7,OR(Q43&gt;6,T43&gt;6)),1,0)</f>
        <v>0</v>
      </c>
      <c r="BA43" s="5">
        <f t="shared" ref="BA43:BA74" si="61">IF(AND(S43&gt;6,OR(Q43&gt;6,T43&gt;6)),1,0)</f>
        <v>0</v>
      </c>
      <c r="BB43" s="5">
        <f t="shared" ref="BB43:BB74" si="62">IF(AND(OR(Q43&gt;6,S43&gt;6),OR(Q43&gt;6,T43&gt;6)),1,0)</f>
        <v>1</v>
      </c>
      <c r="BC43" s="5">
        <f t="shared" ref="BC43:BC74" si="63">IF(AND(Q43&gt;4,OR(Q43&gt;6,S43&gt;6,T43&gt;6)),1,0)</f>
        <v>1</v>
      </c>
      <c r="BD43" s="5">
        <f t="shared" ref="BD43:BD74" si="64">IF(AND(Q43&gt;4,OR(Q43&gt;6,R43&gt;6,S43&gt;6,T43&gt;6)),1,0)</f>
        <v>1</v>
      </c>
      <c r="BE43" s="3">
        <f t="shared" ref="BE43:BE74" si="65">IF(AND(Q43&gt;4,MAX(Q43:U43)&gt;6),1,0)</f>
        <v>1</v>
      </c>
      <c r="BF43" s="53">
        <f t="shared" ref="BF43:BF74" si="66">IF(AND(OR(V43+Y43&gt;12,AND(V43&gt;6,Y43&gt;6)),AL43&gt;6,OR(AM43&gt;=AL43,AM43&gt;6)),1,0)</f>
        <v>0</v>
      </c>
      <c r="BG43" s="5">
        <f t="shared" ref="BG43:BG74" si="67">IF(OR(AND(V43&gt;6,Z43&gt;6),V43+Y43&gt;12),1,0)</f>
        <v>1</v>
      </c>
      <c r="BH43" s="5">
        <f t="shared" ref="BH43:BH74" si="68">IF(AND(V43&gt;6,X43&gt;6,Y43&gt;6),1,0)</f>
        <v>0</v>
      </c>
      <c r="BI43" s="5">
        <f t="shared" ref="BI43:BI74" si="69">IF(AND(X43&gt;7,OR(V43&gt;6,Y43&gt;6)),1,0)</f>
        <v>0</v>
      </c>
      <c r="BJ43" s="5">
        <f t="shared" ref="BJ43:BJ74" si="70">IF(AND(X43&gt;6,OR(V43&gt;6,Y43&gt;6)),1,0)</f>
        <v>0</v>
      </c>
      <c r="BK43" s="5">
        <f t="shared" ref="BK43:BK74" si="71">IF(AND(OR(V43&gt;6,X43&gt;6),OR(V43&gt;6,Y43&gt;6)),1,0)</f>
        <v>1</v>
      </c>
      <c r="BL43" s="5">
        <f t="shared" ref="BL43:BL74" si="72">IF(AND(V43&gt;4,OR(V43&gt;6,X43&gt;6,Y43&gt;6)),1,0)</f>
        <v>1</v>
      </c>
      <c r="BM43" s="5">
        <f t="shared" ref="BM43:BM74" si="73">IF(AND(V43&gt;4,OR(V43&gt;6,W43&gt;6,X43&gt;6,Y43&gt;6)),1,0)</f>
        <v>1</v>
      </c>
      <c r="BN43" s="3">
        <f t="shared" ref="BN43:BN74" si="74">IF(AND(V43&gt;4,MAX(V43:Z43)&gt;6),1,0)</f>
        <v>1</v>
      </c>
      <c r="BO43" s="3">
        <f t="shared" ref="BO43:BO74" si="75">IF(AVERAGE(AL43:AM43)&gt;9,1,0)+IF(AVERAGE(AL43:AM43)&gt;7,1,0)+IF(AL43&gt;7,1,0)+IF(AM43&gt;7,1,0)+IF(AN43&gt;8,1,0)+IF(AN43&gt;6,1,0)</f>
        <v>0</v>
      </c>
      <c r="BP43" s="7">
        <f t="shared" ref="BP43:BP74" si="76">IF(OR(MAX(AD43,AE43,AI43,AK43)&gt;6,MAX(AF43,AG43,AH43,AJ43)&gt;7),2,IF(MAX(AD43:AK43)&gt;4,1,0))</f>
        <v>2</v>
      </c>
      <c r="BQ43" t="str">
        <f t="shared" ref="BQ43:BQ74" si="77">IF(AP43=1,"Yes","")</f>
        <v/>
      </c>
      <c r="BR43" s="91">
        <f>IF(Q43="-","-",VLOOKUP($G43,CTBat!$G$10:$AN$89,BR$9,FALSE)-Q43)</f>
        <v>0</v>
      </c>
      <c r="BS43" s="91">
        <f>IF(R43="-","-",VLOOKUP($G43,CTBat!$G$10:$AN$89,BS$9,FALSE)-R43)</f>
        <v>0</v>
      </c>
      <c r="BT43" s="91">
        <f>IF(S43="-","-",VLOOKUP($G43,CTBat!$G$10:$AN$89,BT$9,FALSE)-S43)</f>
        <v>0</v>
      </c>
      <c r="BU43" s="91">
        <f>IF(T43="-","-",VLOOKUP($G43,CTBat!$G$10:$AN$89,BU$9,FALSE)-T43)</f>
        <v>0</v>
      </c>
      <c r="BV43" s="91">
        <f>IF(U43="-","-",VLOOKUP($G43,CTBat!$G$10:$AN$89,BV$9,FALSE)-U43)</f>
        <v>0</v>
      </c>
      <c r="BW43" s="91">
        <f>IF(V43="-","-",VLOOKUP($G43,CTBat!$G$10:$AN$89,BW$9,FALSE)-V43)</f>
        <v>0</v>
      </c>
      <c r="BX43" s="91">
        <f>IF(W43="-","-",VLOOKUP($G43,CTBat!$G$10:$AN$89,BX$9,FALSE)-W43)</f>
        <v>0</v>
      </c>
      <c r="BY43" s="91">
        <f>IF(X43="-","-",VLOOKUP($G43,CTBat!$G$10:$AN$89,BY$9,FALSE)-X43)</f>
        <v>0</v>
      </c>
      <c r="BZ43" s="91">
        <f>IF(Y43="-","-",VLOOKUP($G43,CTBat!$G$10:$AN$89,BZ$9,FALSE)-Y43)</f>
        <v>0</v>
      </c>
      <c r="CA43" s="91">
        <f>IF(Z43="-","-",VLOOKUP($G43,CTBat!$G$10:$AN$89,CA$9,FALSE)-Z43)</f>
        <v>0</v>
      </c>
      <c r="CB43" s="91">
        <f>IF(AA43="-","-",VLOOKUP($G43,CTBat!$G$10:$AN$89,CB$9,FALSE)-AA43)</f>
        <v>0</v>
      </c>
      <c r="CC43" s="91">
        <f>IF(AB43="-","-",VLOOKUP($G43,CTBat!$G$10:$AN$89,CC$9,FALSE)-AB43)</f>
        <v>0</v>
      </c>
      <c r="CD43" s="91">
        <f>IF(AC43="-","-",VLOOKUP($G43,CTBat!$G$10:$AN$89,CD$9,FALSE)-AC43)</f>
        <v>0</v>
      </c>
      <c r="CE43" s="91" t="str">
        <f>IF(AD43="-","-",VLOOKUP($G43,CTBat!$G$10:$AN$89,CE$9,FALSE)-AD43)</f>
        <v>-</v>
      </c>
      <c r="CF43" s="91">
        <f>IF(AE43="-","-",VLOOKUP($G43,CTBat!$G$10:$AN$89,CF$9,FALSE)-AE43)</f>
        <v>0</v>
      </c>
      <c r="CG43" s="91">
        <f>IF(AF43="-","-",VLOOKUP($G43,CTBat!$G$10:$AN$89,CG$9,FALSE)-AF43)</f>
        <v>0</v>
      </c>
      <c r="CH43" s="91">
        <f>IF(AG43="-","-",VLOOKUP($G43,CTBat!$G$10:$AN$89,CH$9,FALSE)-AG43)</f>
        <v>0</v>
      </c>
      <c r="CI43" s="91">
        <f>IF(AH43="-","-",VLOOKUP($G43,CTBat!$G$10:$AN$89,CI$9,FALSE)-AH43)</f>
        <v>0</v>
      </c>
      <c r="CJ43" s="91" t="str">
        <f>IF(AI43="-","-",VLOOKUP($G43,CTBat!$G$10:$AN$89,CJ$9,FALSE)-AI43)</f>
        <v>-</v>
      </c>
      <c r="CK43" s="91" t="str">
        <f>IF(AJ43="-","-",VLOOKUP($G43,CTBat!$G$10:$AN$89,CK$9,FALSE)-AJ43)</f>
        <v>-</v>
      </c>
      <c r="CL43" s="91" t="str">
        <f>IF(AK43="-","-",VLOOKUP($G43,CTBat!$G$10:$AN$89,CL$9,FALSE)-AK43)</f>
        <v>-</v>
      </c>
      <c r="CM43" s="91">
        <f>IF(AL43="-","-",VLOOKUP($G43,CTBat!$G$10:$AN$89,CM$9,FALSE)-AL43)</f>
        <v>0</v>
      </c>
      <c r="CN43" s="91">
        <f>IF(AM43="-","-",VLOOKUP($G43,CTBat!$G$10:$AN$89,CN$9,FALSE)-AM43)</f>
        <v>0</v>
      </c>
      <c r="CO43" s="91">
        <f>IF(AN43="-","-",VLOOKUP($G43,CTBat!$G$10:$AN$89,CO$9,FALSE)-AN43)</f>
        <v>0</v>
      </c>
      <c r="CP43" s="91">
        <f t="shared" ref="CP43:CP74" si="78">SUM(BR43:BV43)</f>
        <v>0</v>
      </c>
      <c r="CQ43" s="91">
        <f t="shared" ref="CQ43:CQ74" si="79">SUM(BW43:CA43)</f>
        <v>0</v>
      </c>
      <c r="CR43" s="91">
        <f t="shared" ref="CR43:CR74" si="80">SUM(CB43:CL43)</f>
        <v>0</v>
      </c>
      <c r="CS43" s="91">
        <f t="shared" ref="CS43:CS74" si="81">SUM(CM43:CO43)</f>
        <v>0</v>
      </c>
      <c r="CT43" s="91">
        <f t="shared" ref="CT43:CT74" si="82">SUM(CP43:CS43)</f>
        <v>0</v>
      </c>
    </row>
    <row r="44" spans="1:98">
      <c r="A44" s="91"/>
      <c r="B44" s="91"/>
      <c r="C44">
        <f t="shared" si="48"/>
        <v>2</v>
      </c>
      <c r="D44">
        <f t="shared" si="49"/>
        <v>2</v>
      </c>
      <c r="E44" t="str">
        <f t="shared" si="50"/>
        <v>K</v>
      </c>
      <c r="F44" t="s">
        <v>100</v>
      </c>
      <c r="G44" t="s">
        <v>50</v>
      </c>
      <c r="H44" t="s">
        <v>25</v>
      </c>
      <c r="I44" t="s">
        <v>212</v>
      </c>
      <c r="J44">
        <v>29</v>
      </c>
      <c r="K44" t="s">
        <v>107</v>
      </c>
      <c r="L44" t="s">
        <v>107</v>
      </c>
      <c r="M44" t="s">
        <v>42</v>
      </c>
      <c r="N44" s="3" t="s">
        <v>42</v>
      </c>
      <c r="O44" t="s">
        <v>230</v>
      </c>
      <c r="P44" s="3" t="s">
        <v>232</v>
      </c>
      <c r="Q44">
        <v>6</v>
      </c>
      <c r="R44">
        <v>6</v>
      </c>
      <c r="S44">
        <v>5</v>
      </c>
      <c r="T44">
        <v>8</v>
      </c>
      <c r="U44" s="3">
        <v>7</v>
      </c>
      <c r="V44">
        <v>6</v>
      </c>
      <c r="W44">
        <v>6</v>
      </c>
      <c r="X44">
        <v>5</v>
      </c>
      <c r="Y44">
        <v>8</v>
      </c>
      <c r="Z44" s="3">
        <v>7</v>
      </c>
      <c r="AA44">
        <v>10</v>
      </c>
      <c r="AB44">
        <v>2</v>
      </c>
      <c r="AC44">
        <v>1</v>
      </c>
      <c r="AD44" t="s">
        <v>41</v>
      </c>
      <c r="AE44">
        <v>10</v>
      </c>
      <c r="AF44">
        <v>10</v>
      </c>
      <c r="AG44">
        <v>10</v>
      </c>
      <c r="AH44">
        <v>8</v>
      </c>
      <c r="AI44" t="s">
        <v>41</v>
      </c>
      <c r="AJ44" t="s">
        <v>41</v>
      </c>
      <c r="AK44" s="3" t="s">
        <v>41</v>
      </c>
      <c r="AL44">
        <v>4</v>
      </c>
      <c r="AM44">
        <v>6</v>
      </c>
      <c r="AN44" s="3">
        <v>7</v>
      </c>
      <c r="AO44" s="85">
        <v>950000</v>
      </c>
      <c r="AP44" s="3" t="s">
        <v>46</v>
      </c>
      <c r="AQ44" s="6">
        <f t="shared" si="51"/>
        <v>6.833333333333333</v>
      </c>
      <c r="AR44" s="9" t="str">
        <f t="shared" si="52"/>
        <v>GoodReg</v>
      </c>
      <c r="AS44" s="6">
        <f t="shared" si="53"/>
        <v>6.833333333333333</v>
      </c>
      <c r="AT44" s="6" t="str">
        <f t="shared" si="54"/>
        <v>GoodReg</v>
      </c>
      <c r="AU44" s="9">
        <f t="shared" si="55"/>
        <v>6.833333333333333</v>
      </c>
      <c r="AV44" s="9" t="str">
        <f t="shared" si="56"/>
        <v>GoodReg</v>
      </c>
      <c r="AW44" s="53">
        <f t="shared" si="57"/>
        <v>0</v>
      </c>
      <c r="AX44" s="5">
        <f t="shared" si="58"/>
        <v>1</v>
      </c>
      <c r="AY44" s="5">
        <f t="shared" si="59"/>
        <v>0</v>
      </c>
      <c r="AZ44" s="5">
        <f t="shared" si="60"/>
        <v>0</v>
      </c>
      <c r="BA44" s="5">
        <f t="shared" si="61"/>
        <v>0</v>
      </c>
      <c r="BB44" s="5">
        <f t="shared" si="62"/>
        <v>0</v>
      </c>
      <c r="BC44" s="5">
        <f t="shared" si="63"/>
        <v>1</v>
      </c>
      <c r="BD44" s="5">
        <f t="shared" si="64"/>
        <v>1</v>
      </c>
      <c r="BE44" s="3">
        <f t="shared" si="65"/>
        <v>1</v>
      </c>
      <c r="BF44" s="53">
        <f t="shared" si="66"/>
        <v>0</v>
      </c>
      <c r="BG44" s="5">
        <f t="shared" si="67"/>
        <v>1</v>
      </c>
      <c r="BH44" s="5">
        <f t="shared" si="68"/>
        <v>0</v>
      </c>
      <c r="BI44" s="5">
        <f t="shared" si="69"/>
        <v>0</v>
      </c>
      <c r="BJ44" s="5">
        <f t="shared" si="70"/>
        <v>0</v>
      </c>
      <c r="BK44" s="5">
        <f t="shared" si="71"/>
        <v>0</v>
      </c>
      <c r="BL44" s="5">
        <f t="shared" si="72"/>
        <v>1</v>
      </c>
      <c r="BM44" s="5">
        <f t="shared" si="73"/>
        <v>1</v>
      </c>
      <c r="BN44" s="3">
        <f t="shared" si="74"/>
        <v>1</v>
      </c>
      <c r="BO44" s="3">
        <f t="shared" si="75"/>
        <v>1</v>
      </c>
      <c r="BP44" s="7">
        <f t="shared" si="76"/>
        <v>2</v>
      </c>
      <c r="BQ44" t="str">
        <f t="shared" si="77"/>
        <v/>
      </c>
      <c r="BR44" s="91">
        <f>IF(Q44="-","-",VLOOKUP($G44,CTBat!$G$10:$AN$89,BR$9,FALSE)-Q44)</f>
        <v>0</v>
      </c>
      <c r="BS44" s="91">
        <f>IF(R44="-","-",VLOOKUP($G44,CTBat!$G$10:$AN$89,BS$9,FALSE)-R44)</f>
        <v>0</v>
      </c>
      <c r="BT44" s="91">
        <f>IF(S44="-","-",VLOOKUP($G44,CTBat!$G$10:$AN$89,BT$9,FALSE)-S44)</f>
        <v>0</v>
      </c>
      <c r="BU44" s="91">
        <f>IF(T44="-","-",VLOOKUP($G44,CTBat!$G$10:$AN$89,BU$9,FALSE)-T44)</f>
        <v>0</v>
      </c>
      <c r="BV44" s="91">
        <f>IF(U44="-","-",VLOOKUP($G44,CTBat!$G$10:$AN$89,BV$9,FALSE)-U44)</f>
        <v>0</v>
      </c>
      <c r="BW44" s="91">
        <f>IF(V44="-","-",VLOOKUP($G44,CTBat!$G$10:$AN$89,BW$9,FALSE)-V44)</f>
        <v>0</v>
      </c>
      <c r="BX44" s="91">
        <f>IF(W44="-","-",VLOOKUP($G44,CTBat!$G$10:$AN$89,BX$9,FALSE)-W44)</f>
        <v>0</v>
      </c>
      <c r="BY44" s="91">
        <f>IF(X44="-","-",VLOOKUP($G44,CTBat!$G$10:$AN$89,BY$9,FALSE)-X44)</f>
        <v>0</v>
      </c>
      <c r="BZ44" s="91">
        <f>IF(Y44="-","-",VLOOKUP($G44,CTBat!$G$10:$AN$89,BZ$9,FALSE)-Y44)</f>
        <v>0</v>
      </c>
      <c r="CA44" s="91">
        <f>IF(Z44="-","-",VLOOKUP($G44,CTBat!$G$10:$AN$89,CA$9,FALSE)-Z44)</f>
        <v>0</v>
      </c>
      <c r="CB44" s="91">
        <f>IF(AA44="-","-",VLOOKUP($G44,CTBat!$G$10:$AN$89,CB$9,FALSE)-AA44)</f>
        <v>0</v>
      </c>
      <c r="CC44" s="91">
        <f>IF(AB44="-","-",VLOOKUP($G44,CTBat!$G$10:$AN$89,CC$9,FALSE)-AB44)</f>
        <v>0</v>
      </c>
      <c r="CD44" s="91">
        <f>IF(AC44="-","-",VLOOKUP($G44,CTBat!$G$10:$AN$89,CD$9,FALSE)-AC44)</f>
        <v>0</v>
      </c>
      <c r="CE44" s="91" t="str">
        <f>IF(AD44="-","-",VLOOKUP($G44,CTBat!$G$10:$AN$89,CE$9,FALSE)-AD44)</f>
        <v>-</v>
      </c>
      <c r="CF44" s="91">
        <f>IF(AE44="-","-",VLOOKUP($G44,CTBat!$G$10:$AN$89,CF$9,FALSE)-AE44)</f>
        <v>0</v>
      </c>
      <c r="CG44" s="91">
        <f>IF(AF44="-","-",VLOOKUP($G44,CTBat!$G$10:$AN$89,CG$9,FALSE)-AF44)</f>
        <v>0</v>
      </c>
      <c r="CH44" s="91">
        <f>IF(AG44="-","-",VLOOKUP($G44,CTBat!$G$10:$AN$89,CH$9,FALSE)-AG44)</f>
        <v>0</v>
      </c>
      <c r="CI44" s="91">
        <f>IF(AH44="-","-",VLOOKUP($G44,CTBat!$G$10:$AN$89,CI$9,FALSE)-AH44)</f>
        <v>0</v>
      </c>
      <c r="CJ44" s="91" t="str">
        <f>IF(AI44="-","-",VLOOKUP($G44,CTBat!$G$10:$AN$89,CJ$9,FALSE)-AI44)</f>
        <v>-</v>
      </c>
      <c r="CK44" s="91" t="str">
        <f>IF(AJ44="-","-",VLOOKUP($G44,CTBat!$G$10:$AN$89,CK$9,FALSE)-AJ44)</f>
        <v>-</v>
      </c>
      <c r="CL44" s="91" t="str">
        <f>IF(AK44="-","-",VLOOKUP($G44,CTBat!$G$10:$AN$89,CL$9,FALSE)-AK44)</f>
        <v>-</v>
      </c>
      <c r="CM44" s="91">
        <f>IF(AL44="-","-",VLOOKUP($G44,CTBat!$G$10:$AN$89,CM$9,FALSE)-AL44)</f>
        <v>0</v>
      </c>
      <c r="CN44" s="91">
        <f>IF(AM44="-","-",VLOOKUP($G44,CTBat!$G$10:$AN$89,CN$9,FALSE)-AM44)</f>
        <v>0</v>
      </c>
      <c r="CO44" s="91">
        <f>IF(AN44="-","-",VLOOKUP($G44,CTBat!$G$10:$AN$89,CO$9,FALSE)-AN44)</f>
        <v>0</v>
      </c>
      <c r="CP44" s="91">
        <f t="shared" si="78"/>
        <v>0</v>
      </c>
      <c r="CQ44" s="91">
        <f t="shared" si="79"/>
        <v>0</v>
      </c>
      <c r="CR44" s="91">
        <f t="shared" si="80"/>
        <v>0</v>
      </c>
      <c r="CS44" s="91">
        <f t="shared" si="81"/>
        <v>0</v>
      </c>
      <c r="CT44" s="91">
        <f t="shared" si="82"/>
        <v>0</v>
      </c>
    </row>
    <row r="45" spans="1:98">
      <c r="A45" s="91"/>
      <c r="B45" s="91"/>
      <c r="C45">
        <f t="shared" si="48"/>
        <v>2</v>
      </c>
      <c r="D45">
        <f t="shared" si="49"/>
        <v>2</v>
      </c>
      <c r="E45" t="str">
        <f t="shared" si="50"/>
        <v>K</v>
      </c>
      <c r="F45" t="s">
        <v>103</v>
      </c>
      <c r="G45" t="s">
        <v>465</v>
      </c>
      <c r="H45" t="s">
        <v>384</v>
      </c>
      <c r="I45" t="s">
        <v>213</v>
      </c>
      <c r="J45">
        <v>24</v>
      </c>
      <c r="K45" t="s">
        <v>107</v>
      </c>
      <c r="L45" t="s">
        <v>106</v>
      </c>
      <c r="M45" t="s">
        <v>47</v>
      </c>
      <c r="N45" s="269" t="s">
        <v>42</v>
      </c>
      <c r="O45" t="s">
        <v>230</v>
      </c>
      <c r="P45" s="269" t="s">
        <v>229</v>
      </c>
      <c r="Q45">
        <v>7</v>
      </c>
      <c r="R45">
        <v>6</v>
      </c>
      <c r="S45">
        <v>6</v>
      </c>
      <c r="T45">
        <v>6</v>
      </c>
      <c r="U45" s="269">
        <v>8</v>
      </c>
      <c r="V45">
        <v>7</v>
      </c>
      <c r="W45">
        <v>7</v>
      </c>
      <c r="X45">
        <v>6</v>
      </c>
      <c r="Y45">
        <v>6</v>
      </c>
      <c r="Z45" s="269">
        <v>8</v>
      </c>
      <c r="AA45">
        <v>1</v>
      </c>
      <c r="AB45">
        <v>5</v>
      </c>
      <c r="AC45">
        <v>1</v>
      </c>
      <c r="AD45" t="s">
        <v>41</v>
      </c>
      <c r="AE45" t="s">
        <v>41</v>
      </c>
      <c r="AF45" t="s">
        <v>41</v>
      </c>
      <c r="AG45" t="s">
        <v>41</v>
      </c>
      <c r="AH45" t="s">
        <v>41</v>
      </c>
      <c r="AI45">
        <v>2</v>
      </c>
      <c r="AJ45">
        <v>2</v>
      </c>
      <c r="AK45" s="269">
        <v>6</v>
      </c>
      <c r="AL45">
        <v>3</v>
      </c>
      <c r="AM45">
        <v>5</v>
      </c>
      <c r="AN45" s="269">
        <v>6</v>
      </c>
      <c r="AO45" s="85">
        <v>490000</v>
      </c>
      <c r="AP45" s="269" t="s">
        <v>45</v>
      </c>
      <c r="AQ45" s="6">
        <f t="shared" si="51"/>
        <v>6.833333333333333</v>
      </c>
      <c r="AR45" s="9" t="str">
        <f t="shared" si="52"/>
        <v>GoodReg</v>
      </c>
      <c r="AS45" s="6">
        <f t="shared" si="53"/>
        <v>6.833333333333333</v>
      </c>
      <c r="AT45" s="6" t="str">
        <f t="shared" si="54"/>
        <v>GoodReg</v>
      </c>
      <c r="AU45" s="9">
        <f t="shared" si="55"/>
        <v>6.833333333333333</v>
      </c>
      <c r="AV45" s="9" t="str">
        <f t="shared" si="56"/>
        <v>GoodReg</v>
      </c>
      <c r="AW45" s="53">
        <f t="shared" si="57"/>
        <v>0</v>
      </c>
      <c r="AX45" s="268">
        <f t="shared" si="58"/>
        <v>1</v>
      </c>
      <c r="AY45" s="268">
        <f t="shared" si="59"/>
        <v>0</v>
      </c>
      <c r="AZ45" s="268">
        <f t="shared" si="60"/>
        <v>0</v>
      </c>
      <c r="BA45" s="268">
        <f t="shared" si="61"/>
        <v>0</v>
      </c>
      <c r="BB45" s="268">
        <f t="shared" si="62"/>
        <v>1</v>
      </c>
      <c r="BC45" s="268">
        <f t="shared" si="63"/>
        <v>1</v>
      </c>
      <c r="BD45" s="268">
        <f t="shared" si="64"/>
        <v>1</v>
      </c>
      <c r="BE45" s="269">
        <f t="shared" si="65"/>
        <v>1</v>
      </c>
      <c r="BF45" s="53">
        <f t="shared" si="66"/>
        <v>0</v>
      </c>
      <c r="BG45" s="268">
        <f t="shared" si="67"/>
        <v>1</v>
      </c>
      <c r="BH45" s="268">
        <f t="shared" si="68"/>
        <v>0</v>
      </c>
      <c r="BI45" s="268">
        <f t="shared" si="69"/>
        <v>0</v>
      </c>
      <c r="BJ45" s="268">
        <f t="shared" si="70"/>
        <v>0</v>
      </c>
      <c r="BK45" s="268">
        <f t="shared" si="71"/>
        <v>1</v>
      </c>
      <c r="BL45" s="268">
        <f t="shared" si="72"/>
        <v>1</v>
      </c>
      <c r="BM45" s="268">
        <f t="shared" si="73"/>
        <v>1</v>
      </c>
      <c r="BN45" s="269">
        <f t="shared" si="74"/>
        <v>1</v>
      </c>
      <c r="BO45" s="269">
        <f t="shared" si="75"/>
        <v>0</v>
      </c>
      <c r="BP45" s="7">
        <f t="shared" si="76"/>
        <v>1</v>
      </c>
      <c r="BQ45" t="str">
        <f t="shared" si="77"/>
        <v/>
      </c>
      <c r="BR45" s="91">
        <f>IF(Q45="-","-",VLOOKUP($G45,CTBat!$G$10:$AN$89,BR$9,FALSE)-Q45)</f>
        <v>0</v>
      </c>
      <c r="BS45" s="91">
        <f>IF(R45="-","-",VLOOKUP($G45,CTBat!$G$10:$AN$89,BS$9,FALSE)-R45)</f>
        <v>0</v>
      </c>
      <c r="BT45" s="91">
        <f>IF(S45="-","-",VLOOKUP($G45,CTBat!$G$10:$AN$89,BT$9,FALSE)-S45)</f>
        <v>0</v>
      </c>
      <c r="BU45" s="91">
        <f>IF(T45="-","-",VLOOKUP($G45,CTBat!$G$10:$AN$89,BU$9,FALSE)-T45)</f>
        <v>0</v>
      </c>
      <c r="BV45" s="91">
        <f>IF(U45="-","-",VLOOKUP($G45,CTBat!$G$10:$AN$89,BV$9,FALSE)-U45)</f>
        <v>0</v>
      </c>
      <c r="BW45" s="91">
        <f>IF(V45="-","-",VLOOKUP($G45,CTBat!$G$10:$AN$89,BW$9,FALSE)-V45)</f>
        <v>0</v>
      </c>
      <c r="BX45" s="91">
        <f>IF(W45="-","-",VLOOKUP($G45,CTBat!$G$10:$AN$89,BX$9,FALSE)-W45)</f>
        <v>0</v>
      </c>
      <c r="BY45" s="91">
        <f>IF(X45="-","-",VLOOKUP($G45,CTBat!$G$10:$AN$89,BY$9,FALSE)-X45)</f>
        <v>0</v>
      </c>
      <c r="BZ45" s="91">
        <f>IF(Y45="-","-",VLOOKUP($G45,CTBat!$G$10:$AN$89,BZ$9,FALSE)-Y45)</f>
        <v>0</v>
      </c>
      <c r="CA45" s="91">
        <f>IF(Z45="-","-",VLOOKUP($G45,CTBat!$G$10:$AN$89,CA$9,FALSE)-Z45)</f>
        <v>0</v>
      </c>
      <c r="CB45" s="91">
        <f>IF(AA45="-","-",VLOOKUP($G45,CTBat!$G$10:$AN$89,CB$9,FALSE)-AA45)</f>
        <v>0</v>
      </c>
      <c r="CC45" s="91">
        <f>IF(AB45="-","-",VLOOKUP($G45,CTBat!$G$10:$AN$89,CC$9,FALSE)-AB45)</f>
        <v>0</v>
      </c>
      <c r="CD45" s="91">
        <f>IF(AC45="-","-",VLOOKUP($G45,CTBat!$G$10:$AN$89,CD$9,FALSE)-AC45)</f>
        <v>0</v>
      </c>
      <c r="CE45" s="91" t="str">
        <f>IF(AD45="-","-",VLOOKUP($G45,CTBat!$G$10:$AN$89,CE$9,FALSE)-AD45)</f>
        <v>-</v>
      </c>
      <c r="CF45" s="91" t="str">
        <f>IF(AE45="-","-",VLOOKUP($G45,CTBat!$G$10:$AN$89,CF$9,FALSE)-AE45)</f>
        <v>-</v>
      </c>
      <c r="CG45" s="91" t="str">
        <f>IF(AF45="-","-",VLOOKUP($G45,CTBat!$G$10:$AN$89,CG$9,FALSE)-AF45)</f>
        <v>-</v>
      </c>
      <c r="CH45" s="91" t="str">
        <f>IF(AG45="-","-",VLOOKUP($G45,CTBat!$G$10:$AN$89,CH$9,FALSE)-AG45)</f>
        <v>-</v>
      </c>
      <c r="CI45" s="91" t="str">
        <f>IF(AH45="-","-",VLOOKUP($G45,CTBat!$G$10:$AN$89,CI$9,FALSE)-AH45)</f>
        <v>-</v>
      </c>
      <c r="CJ45" s="91">
        <f>IF(AI45="-","-",VLOOKUP($G45,CTBat!$G$10:$AN$89,CJ$9,FALSE)-AI45)</f>
        <v>0</v>
      </c>
      <c r="CK45" s="91">
        <f>IF(AJ45="-","-",VLOOKUP($G45,CTBat!$G$10:$AN$89,CK$9,FALSE)-AJ45)</f>
        <v>0</v>
      </c>
      <c r="CL45" s="91">
        <f>IF(AK45="-","-",VLOOKUP($G45,CTBat!$G$10:$AN$89,CL$9,FALSE)-AK45)</f>
        <v>0</v>
      </c>
      <c r="CM45" s="91">
        <f>IF(AL45="-","-",VLOOKUP($G45,CTBat!$G$10:$AN$89,CM$9,FALSE)-AL45)</f>
        <v>0</v>
      </c>
      <c r="CN45" s="91">
        <f>IF(AM45="-","-",VLOOKUP($G45,CTBat!$G$10:$AN$89,CN$9,FALSE)-AM45)</f>
        <v>0</v>
      </c>
      <c r="CO45" s="91">
        <f>IF(AN45="-","-",VLOOKUP($G45,CTBat!$G$10:$AN$89,CO$9,FALSE)-AN45)</f>
        <v>0</v>
      </c>
      <c r="CP45" s="91">
        <f t="shared" si="78"/>
        <v>0</v>
      </c>
      <c r="CQ45" s="91">
        <f t="shared" si="79"/>
        <v>0</v>
      </c>
      <c r="CR45" s="91">
        <f t="shared" si="80"/>
        <v>0</v>
      </c>
      <c r="CS45" s="91">
        <f t="shared" si="81"/>
        <v>0</v>
      </c>
      <c r="CT45" s="91">
        <f t="shared" si="82"/>
        <v>0</v>
      </c>
    </row>
    <row r="46" spans="1:98">
      <c r="C46">
        <f t="shared" si="48"/>
        <v>2</v>
      </c>
      <c r="D46">
        <f t="shared" si="49"/>
        <v>2</v>
      </c>
      <c r="E46" t="str">
        <f t="shared" si="50"/>
        <v>K</v>
      </c>
      <c r="F46" t="s">
        <v>101</v>
      </c>
      <c r="G46" t="s">
        <v>571</v>
      </c>
      <c r="H46" t="s">
        <v>386</v>
      </c>
      <c r="I46" t="s">
        <v>215</v>
      </c>
      <c r="J46">
        <v>28</v>
      </c>
      <c r="K46" t="s">
        <v>107</v>
      </c>
      <c r="L46" t="s">
        <v>107</v>
      </c>
      <c r="M46" t="s">
        <v>47</v>
      </c>
      <c r="N46" s="242" t="s">
        <v>42</v>
      </c>
      <c r="O46" t="s">
        <v>231</v>
      </c>
      <c r="P46" s="242" t="s">
        <v>228</v>
      </c>
      <c r="Q46">
        <v>6</v>
      </c>
      <c r="R46">
        <v>9</v>
      </c>
      <c r="S46">
        <v>6</v>
      </c>
      <c r="T46">
        <v>7</v>
      </c>
      <c r="U46" s="242">
        <v>4</v>
      </c>
      <c r="V46">
        <v>6</v>
      </c>
      <c r="W46">
        <v>9</v>
      </c>
      <c r="X46">
        <v>6</v>
      </c>
      <c r="Y46">
        <v>7</v>
      </c>
      <c r="Z46" s="242">
        <v>4</v>
      </c>
      <c r="AA46">
        <v>1</v>
      </c>
      <c r="AB46">
        <v>6</v>
      </c>
      <c r="AC46">
        <v>1</v>
      </c>
      <c r="AD46" t="s">
        <v>41</v>
      </c>
      <c r="AE46" t="s">
        <v>41</v>
      </c>
      <c r="AF46" t="s">
        <v>41</v>
      </c>
      <c r="AG46" t="s">
        <v>41</v>
      </c>
      <c r="AH46" t="s">
        <v>41</v>
      </c>
      <c r="AI46">
        <v>5</v>
      </c>
      <c r="AJ46" t="s">
        <v>41</v>
      </c>
      <c r="AK46" s="242">
        <v>4</v>
      </c>
      <c r="AL46">
        <v>4</v>
      </c>
      <c r="AM46">
        <v>5</v>
      </c>
      <c r="AN46" s="242">
        <v>5</v>
      </c>
      <c r="AO46" s="85" t="s">
        <v>41</v>
      </c>
      <c r="AP46" s="242">
        <v>0</v>
      </c>
      <c r="AQ46" s="6">
        <f t="shared" si="51"/>
        <v>6.833333333333333</v>
      </c>
      <c r="AR46" s="9" t="str">
        <f t="shared" si="52"/>
        <v>GoodReg</v>
      </c>
      <c r="AS46" s="6">
        <f t="shared" si="53"/>
        <v>6.833333333333333</v>
      </c>
      <c r="AT46" s="6" t="str">
        <f t="shared" si="54"/>
        <v>GoodReg</v>
      </c>
      <c r="AU46" s="9">
        <f t="shared" si="55"/>
        <v>6.833333333333333</v>
      </c>
      <c r="AV46" s="9" t="str">
        <f t="shared" si="56"/>
        <v>GoodReg</v>
      </c>
      <c r="AW46" s="53">
        <f t="shared" si="57"/>
        <v>0</v>
      </c>
      <c r="AX46" s="241">
        <f t="shared" si="58"/>
        <v>1</v>
      </c>
      <c r="AY46" s="241">
        <f t="shared" si="59"/>
        <v>0</v>
      </c>
      <c r="AZ46" s="241">
        <f t="shared" si="60"/>
        <v>0</v>
      </c>
      <c r="BA46" s="241">
        <f t="shared" si="61"/>
        <v>0</v>
      </c>
      <c r="BB46" s="241">
        <f t="shared" si="62"/>
        <v>0</v>
      </c>
      <c r="BC46" s="241">
        <f t="shared" si="63"/>
        <v>1</v>
      </c>
      <c r="BD46" s="241">
        <f t="shared" si="64"/>
        <v>1</v>
      </c>
      <c r="BE46" s="242">
        <f t="shared" si="65"/>
        <v>1</v>
      </c>
      <c r="BF46" s="53">
        <f t="shared" si="66"/>
        <v>0</v>
      </c>
      <c r="BG46" s="241">
        <f t="shared" si="67"/>
        <v>1</v>
      </c>
      <c r="BH46" s="241">
        <f t="shared" si="68"/>
        <v>0</v>
      </c>
      <c r="BI46" s="241">
        <f t="shared" si="69"/>
        <v>0</v>
      </c>
      <c r="BJ46" s="241">
        <f t="shared" si="70"/>
        <v>0</v>
      </c>
      <c r="BK46" s="241">
        <f t="shared" si="71"/>
        <v>0</v>
      </c>
      <c r="BL46" s="241">
        <f t="shared" si="72"/>
        <v>1</v>
      </c>
      <c r="BM46" s="241">
        <f t="shared" si="73"/>
        <v>1</v>
      </c>
      <c r="BN46" s="242">
        <f t="shared" si="74"/>
        <v>1</v>
      </c>
      <c r="BO46" s="242">
        <f t="shared" si="75"/>
        <v>0</v>
      </c>
      <c r="BP46" s="7">
        <f t="shared" si="76"/>
        <v>1</v>
      </c>
      <c r="BQ46" t="str">
        <f t="shared" si="77"/>
        <v/>
      </c>
      <c r="BR46" s="91">
        <f>IF(Q46="-","-",VLOOKUP($G46,CTBat!$G$10:$AN$89,BR$9,FALSE)-Q46)</f>
        <v>0</v>
      </c>
      <c r="BS46" s="91">
        <f>IF(R46="-","-",VLOOKUP($G46,CTBat!$G$10:$AN$89,BS$9,FALSE)-R46)</f>
        <v>0</v>
      </c>
      <c r="BT46" s="91">
        <f>IF(S46="-","-",VLOOKUP($G46,CTBat!$G$10:$AN$89,BT$9,FALSE)-S46)</f>
        <v>0</v>
      </c>
      <c r="BU46" s="91">
        <f>IF(T46="-","-",VLOOKUP($G46,CTBat!$G$10:$AN$89,BU$9,FALSE)-T46)</f>
        <v>0</v>
      </c>
      <c r="BV46" s="91">
        <f>IF(U46="-","-",VLOOKUP($G46,CTBat!$G$10:$AN$89,BV$9,FALSE)-U46)</f>
        <v>0</v>
      </c>
      <c r="BW46" s="91">
        <f>IF(V46="-","-",VLOOKUP($G46,CTBat!$G$10:$AN$89,BW$9,FALSE)-V46)</f>
        <v>0</v>
      </c>
      <c r="BX46" s="91">
        <f>IF(W46="-","-",VLOOKUP($G46,CTBat!$G$10:$AN$89,BX$9,FALSE)-W46)</f>
        <v>0</v>
      </c>
      <c r="BY46" s="91">
        <f>IF(X46="-","-",VLOOKUP($G46,CTBat!$G$10:$AN$89,BY$9,FALSE)-X46)</f>
        <v>0</v>
      </c>
      <c r="BZ46" s="91">
        <f>IF(Y46="-","-",VLOOKUP($G46,CTBat!$G$10:$AN$89,BZ$9,FALSE)-Y46)</f>
        <v>0</v>
      </c>
      <c r="CA46" s="91">
        <f>IF(Z46="-","-",VLOOKUP($G46,CTBat!$G$10:$AN$89,CA$9,FALSE)-Z46)</f>
        <v>0</v>
      </c>
      <c r="CB46" s="91">
        <f>IF(AA46="-","-",VLOOKUP($G46,CTBat!$G$10:$AN$89,CB$9,FALSE)-AA46)</f>
        <v>0</v>
      </c>
      <c r="CC46" s="91">
        <f>IF(AB46="-","-",VLOOKUP($G46,CTBat!$G$10:$AN$89,CC$9,FALSE)-AB46)</f>
        <v>0</v>
      </c>
      <c r="CD46" s="91">
        <f>IF(AC46="-","-",VLOOKUP($G46,CTBat!$G$10:$AN$89,CD$9,FALSE)-AC46)</f>
        <v>0</v>
      </c>
      <c r="CE46" s="91" t="str">
        <f>IF(AD46="-","-",VLOOKUP($G46,CTBat!$G$10:$AN$89,CE$9,FALSE)-AD46)</f>
        <v>-</v>
      </c>
      <c r="CF46" s="91" t="str">
        <f>IF(AE46="-","-",VLOOKUP($G46,CTBat!$G$10:$AN$89,CF$9,FALSE)-AE46)</f>
        <v>-</v>
      </c>
      <c r="CG46" s="91" t="str">
        <f>IF(AF46="-","-",VLOOKUP($G46,CTBat!$G$10:$AN$89,CG$9,FALSE)-AF46)</f>
        <v>-</v>
      </c>
      <c r="CH46" s="91" t="str">
        <f>IF(AG46="-","-",VLOOKUP($G46,CTBat!$G$10:$AN$89,CH$9,FALSE)-AG46)</f>
        <v>-</v>
      </c>
      <c r="CI46" s="91" t="str">
        <f>IF(AH46="-","-",VLOOKUP($G46,CTBat!$G$10:$AN$89,CI$9,FALSE)-AH46)</f>
        <v>-</v>
      </c>
      <c r="CJ46" s="91">
        <f>IF(AI46="-","-",VLOOKUP($G46,CTBat!$G$10:$AN$89,CJ$9,FALSE)-AI46)</f>
        <v>0</v>
      </c>
      <c r="CK46" s="91" t="str">
        <f>IF(AJ46="-","-",VLOOKUP($G46,CTBat!$G$10:$AN$89,CK$9,FALSE)-AJ46)</f>
        <v>-</v>
      </c>
      <c r="CL46" s="91">
        <f>IF(AK46="-","-",VLOOKUP($G46,CTBat!$G$10:$AN$89,CL$9,FALSE)-AK46)</f>
        <v>0</v>
      </c>
      <c r="CM46" s="91">
        <f>IF(AL46="-","-",VLOOKUP($G46,CTBat!$G$10:$AN$89,CM$9,FALSE)-AL46)</f>
        <v>0</v>
      </c>
      <c r="CN46" s="91">
        <f>IF(AM46="-","-",VLOOKUP($G46,CTBat!$G$10:$AN$89,CN$9,FALSE)-AM46)</f>
        <v>0</v>
      </c>
      <c r="CO46" s="91">
        <f>IF(AN46="-","-",VLOOKUP($G46,CTBat!$G$10:$AN$89,CO$9,FALSE)-AN46)</f>
        <v>0</v>
      </c>
      <c r="CP46" s="91">
        <f t="shared" si="78"/>
        <v>0</v>
      </c>
      <c r="CQ46" s="91">
        <f t="shared" si="79"/>
        <v>0</v>
      </c>
      <c r="CR46" s="91">
        <f t="shared" si="80"/>
        <v>0</v>
      </c>
      <c r="CS46" s="91">
        <f t="shared" si="81"/>
        <v>0</v>
      </c>
      <c r="CT46" s="91">
        <f t="shared" si="82"/>
        <v>0</v>
      </c>
    </row>
    <row r="47" spans="1:98">
      <c r="C47">
        <f t="shared" si="48"/>
        <v>2</v>
      </c>
      <c r="D47">
        <f t="shared" si="49"/>
        <v>2</v>
      </c>
      <c r="E47" t="str">
        <f t="shared" si="50"/>
        <v>K</v>
      </c>
      <c r="F47" t="s">
        <v>101</v>
      </c>
      <c r="G47" t="s">
        <v>53</v>
      </c>
      <c r="H47" t="s">
        <v>25</v>
      </c>
      <c r="I47" t="s">
        <v>212</v>
      </c>
      <c r="J47">
        <v>27</v>
      </c>
      <c r="K47" t="s">
        <v>107</v>
      </c>
      <c r="L47" t="s">
        <v>107</v>
      </c>
      <c r="M47" t="s">
        <v>47</v>
      </c>
      <c r="N47" s="216" t="s">
        <v>47</v>
      </c>
      <c r="O47" t="s">
        <v>229</v>
      </c>
      <c r="P47" s="216" t="s">
        <v>232</v>
      </c>
      <c r="Q47">
        <v>7</v>
      </c>
      <c r="R47">
        <v>6</v>
      </c>
      <c r="S47">
        <v>5</v>
      </c>
      <c r="T47">
        <v>6</v>
      </c>
      <c r="U47" s="216">
        <v>8</v>
      </c>
      <c r="V47">
        <v>7</v>
      </c>
      <c r="W47">
        <v>6</v>
      </c>
      <c r="X47">
        <v>5</v>
      </c>
      <c r="Y47">
        <v>6</v>
      </c>
      <c r="Z47" s="216">
        <v>8</v>
      </c>
      <c r="AA47">
        <v>1</v>
      </c>
      <c r="AB47">
        <v>6</v>
      </c>
      <c r="AC47">
        <v>1</v>
      </c>
      <c r="AD47" t="s">
        <v>41</v>
      </c>
      <c r="AE47" t="s">
        <v>41</v>
      </c>
      <c r="AF47" t="s">
        <v>41</v>
      </c>
      <c r="AG47" t="s">
        <v>41</v>
      </c>
      <c r="AH47" t="s">
        <v>41</v>
      </c>
      <c r="AI47">
        <v>7</v>
      </c>
      <c r="AJ47" t="s">
        <v>41</v>
      </c>
      <c r="AK47" s="216">
        <v>2</v>
      </c>
      <c r="AL47">
        <v>4</v>
      </c>
      <c r="AM47">
        <v>3</v>
      </c>
      <c r="AN47" s="216">
        <v>3</v>
      </c>
      <c r="AO47">
        <v>490000</v>
      </c>
      <c r="AP47" s="216" t="s">
        <v>45</v>
      </c>
      <c r="AQ47" s="6">
        <f t="shared" si="51"/>
        <v>6.5</v>
      </c>
      <c r="AR47" s="9" t="str">
        <f t="shared" si="52"/>
        <v>Reg</v>
      </c>
      <c r="AS47" s="6">
        <f t="shared" si="53"/>
        <v>6.5</v>
      </c>
      <c r="AT47" s="6" t="str">
        <f t="shared" si="54"/>
        <v>Reg</v>
      </c>
      <c r="AU47" s="9">
        <f t="shared" si="55"/>
        <v>6.5</v>
      </c>
      <c r="AV47" s="9" t="str">
        <f t="shared" si="56"/>
        <v>Reg</v>
      </c>
      <c r="AW47" s="53">
        <f t="shared" si="57"/>
        <v>0</v>
      </c>
      <c r="AX47" s="215">
        <f t="shared" si="58"/>
        <v>1</v>
      </c>
      <c r="AY47" s="215">
        <f t="shared" si="59"/>
        <v>0</v>
      </c>
      <c r="AZ47" s="215">
        <f t="shared" si="60"/>
        <v>0</v>
      </c>
      <c r="BA47" s="215">
        <f t="shared" si="61"/>
        <v>0</v>
      </c>
      <c r="BB47" s="215">
        <f t="shared" si="62"/>
        <v>1</v>
      </c>
      <c r="BC47" s="215">
        <f t="shared" si="63"/>
        <v>1</v>
      </c>
      <c r="BD47" s="215">
        <f t="shared" si="64"/>
        <v>1</v>
      </c>
      <c r="BE47" s="216">
        <f t="shared" si="65"/>
        <v>1</v>
      </c>
      <c r="BF47" s="53">
        <f t="shared" si="66"/>
        <v>0</v>
      </c>
      <c r="BG47" s="215">
        <f t="shared" si="67"/>
        <v>1</v>
      </c>
      <c r="BH47" s="215">
        <f t="shared" si="68"/>
        <v>0</v>
      </c>
      <c r="BI47" s="215">
        <f t="shared" si="69"/>
        <v>0</v>
      </c>
      <c r="BJ47" s="215">
        <f t="shared" si="70"/>
        <v>0</v>
      </c>
      <c r="BK47" s="215">
        <f t="shared" si="71"/>
        <v>1</v>
      </c>
      <c r="BL47" s="215">
        <f t="shared" si="72"/>
        <v>1</v>
      </c>
      <c r="BM47" s="215">
        <f t="shared" si="73"/>
        <v>1</v>
      </c>
      <c r="BN47" s="216">
        <f t="shared" si="74"/>
        <v>1</v>
      </c>
      <c r="BO47" s="216">
        <f t="shared" si="75"/>
        <v>0</v>
      </c>
      <c r="BP47" s="7">
        <f t="shared" si="76"/>
        <v>2</v>
      </c>
      <c r="BQ47" t="str">
        <f t="shared" si="77"/>
        <v/>
      </c>
      <c r="BR47" s="91">
        <f>IF(Q47="-","-",VLOOKUP($G47,CTBat!$G$10:$AN$89,BR$9,FALSE)-Q47)</f>
        <v>0</v>
      </c>
      <c r="BS47" s="91">
        <f>IF(R47="-","-",VLOOKUP($G47,CTBat!$G$10:$AN$89,BS$9,FALSE)-R47)</f>
        <v>0</v>
      </c>
      <c r="BT47" s="91">
        <f>IF(S47="-","-",VLOOKUP($G47,CTBat!$G$10:$AN$89,BT$9,FALSE)-S47)</f>
        <v>0</v>
      </c>
      <c r="BU47" s="91">
        <f>IF(T47="-","-",VLOOKUP($G47,CTBat!$G$10:$AN$89,BU$9,FALSE)-T47)</f>
        <v>0</v>
      </c>
      <c r="BV47" s="91">
        <f>IF(U47="-","-",VLOOKUP($G47,CTBat!$G$10:$AN$89,BV$9,FALSE)-U47)</f>
        <v>0</v>
      </c>
      <c r="BW47" s="91">
        <f>IF(V47="-","-",VLOOKUP($G47,CTBat!$G$10:$AN$89,BW$9,FALSE)-V47)</f>
        <v>0</v>
      </c>
      <c r="BX47" s="91">
        <f>IF(W47="-","-",VLOOKUP($G47,CTBat!$G$10:$AN$89,BX$9,FALSE)-W47)</f>
        <v>0</v>
      </c>
      <c r="BY47" s="91">
        <f>IF(X47="-","-",VLOOKUP($G47,CTBat!$G$10:$AN$89,BY$9,FALSE)-X47)</f>
        <v>0</v>
      </c>
      <c r="BZ47" s="91">
        <f>IF(Y47="-","-",VLOOKUP($G47,CTBat!$G$10:$AN$89,BZ$9,FALSE)-Y47)</f>
        <v>0</v>
      </c>
      <c r="CA47" s="91">
        <f>IF(Z47="-","-",VLOOKUP($G47,CTBat!$G$10:$AN$89,CA$9,FALSE)-Z47)</f>
        <v>0</v>
      </c>
      <c r="CB47" s="91">
        <f>IF(AA47="-","-",VLOOKUP($G47,CTBat!$G$10:$AN$89,CB$9,FALSE)-AA47)</f>
        <v>0</v>
      </c>
      <c r="CC47" s="91">
        <f>IF(AB47="-","-",VLOOKUP($G47,CTBat!$G$10:$AN$89,CC$9,FALSE)-AB47)</f>
        <v>0</v>
      </c>
      <c r="CD47" s="91">
        <f>IF(AC47="-","-",VLOOKUP($G47,CTBat!$G$10:$AN$89,CD$9,FALSE)-AC47)</f>
        <v>0</v>
      </c>
      <c r="CE47" s="91" t="str">
        <f>IF(AD47="-","-",VLOOKUP($G47,CTBat!$G$10:$AN$89,CE$9,FALSE)-AD47)</f>
        <v>-</v>
      </c>
      <c r="CF47" s="91" t="str">
        <f>IF(AE47="-","-",VLOOKUP($G47,CTBat!$G$10:$AN$89,CF$9,FALSE)-AE47)</f>
        <v>-</v>
      </c>
      <c r="CG47" s="91" t="str">
        <f>IF(AF47="-","-",VLOOKUP($G47,CTBat!$G$10:$AN$89,CG$9,FALSE)-AF47)</f>
        <v>-</v>
      </c>
      <c r="CH47" s="91" t="str">
        <f>IF(AG47="-","-",VLOOKUP($G47,CTBat!$G$10:$AN$89,CH$9,FALSE)-AG47)</f>
        <v>-</v>
      </c>
      <c r="CI47" s="91" t="str">
        <f>IF(AH47="-","-",VLOOKUP($G47,CTBat!$G$10:$AN$89,CI$9,FALSE)-AH47)</f>
        <v>-</v>
      </c>
      <c r="CJ47" s="91">
        <f>IF(AI47="-","-",VLOOKUP($G47,CTBat!$G$10:$AN$89,CJ$9,FALSE)-AI47)</f>
        <v>0</v>
      </c>
      <c r="CK47" s="91" t="str">
        <f>IF(AJ47="-","-",VLOOKUP($G47,CTBat!$G$10:$AN$89,CK$9,FALSE)-AJ47)</f>
        <v>-</v>
      </c>
      <c r="CL47" s="91">
        <f>IF(AK47="-","-",VLOOKUP($G47,CTBat!$G$10:$AN$89,CL$9,FALSE)-AK47)</f>
        <v>0</v>
      </c>
      <c r="CM47" s="91">
        <f>IF(AL47="-","-",VLOOKUP($G47,CTBat!$G$10:$AN$89,CM$9,FALSE)-AL47)</f>
        <v>0</v>
      </c>
      <c r="CN47" s="91">
        <f>IF(AM47="-","-",VLOOKUP($G47,CTBat!$G$10:$AN$89,CN$9,FALSE)-AM47)</f>
        <v>0</v>
      </c>
      <c r="CO47" s="91">
        <f>IF(AN47="-","-",VLOOKUP($G47,CTBat!$G$10:$AN$89,CO$9,FALSE)-AN47)</f>
        <v>0</v>
      </c>
      <c r="CP47" s="91">
        <f t="shared" si="78"/>
        <v>0</v>
      </c>
      <c r="CQ47" s="91">
        <f t="shared" si="79"/>
        <v>0</v>
      </c>
      <c r="CR47" s="91">
        <f t="shared" si="80"/>
        <v>0</v>
      </c>
      <c r="CS47" s="91">
        <f t="shared" si="81"/>
        <v>0</v>
      </c>
      <c r="CT47" s="91">
        <f t="shared" si="82"/>
        <v>0</v>
      </c>
    </row>
    <row r="48" spans="1:98">
      <c r="C48">
        <f t="shared" si="48"/>
        <v>2</v>
      </c>
      <c r="D48">
        <f t="shared" si="49"/>
        <v>6</v>
      </c>
      <c r="E48" t="str">
        <f t="shared" si="50"/>
        <v>K</v>
      </c>
      <c r="F48" t="s">
        <v>101</v>
      </c>
      <c r="G48" t="s">
        <v>403</v>
      </c>
      <c r="H48" t="s">
        <v>384</v>
      </c>
      <c r="I48" t="s">
        <v>213</v>
      </c>
      <c r="J48">
        <v>24</v>
      </c>
      <c r="K48" t="s">
        <v>106</v>
      </c>
      <c r="L48" t="s">
        <v>107</v>
      </c>
      <c r="M48" t="s">
        <v>47</v>
      </c>
      <c r="N48" s="3" t="s">
        <v>42</v>
      </c>
      <c r="O48" t="s">
        <v>230</v>
      </c>
      <c r="P48" s="3" t="s">
        <v>229</v>
      </c>
      <c r="Q48">
        <v>7</v>
      </c>
      <c r="R48">
        <v>8</v>
      </c>
      <c r="S48">
        <v>4</v>
      </c>
      <c r="T48">
        <v>3</v>
      </c>
      <c r="U48" s="3">
        <v>5</v>
      </c>
      <c r="V48">
        <v>8</v>
      </c>
      <c r="W48">
        <v>8</v>
      </c>
      <c r="X48">
        <v>5</v>
      </c>
      <c r="Y48">
        <v>5</v>
      </c>
      <c r="Z48" s="3">
        <v>6</v>
      </c>
      <c r="AA48">
        <v>1</v>
      </c>
      <c r="AB48">
        <v>5</v>
      </c>
      <c r="AC48">
        <v>1</v>
      </c>
      <c r="AD48" t="s">
        <v>41</v>
      </c>
      <c r="AE48" t="s">
        <v>41</v>
      </c>
      <c r="AF48" t="s">
        <v>41</v>
      </c>
      <c r="AG48" t="s">
        <v>41</v>
      </c>
      <c r="AH48" t="s">
        <v>41</v>
      </c>
      <c r="AI48">
        <v>7</v>
      </c>
      <c r="AJ48">
        <v>3</v>
      </c>
      <c r="AK48" s="3">
        <v>3</v>
      </c>
      <c r="AL48">
        <v>4</v>
      </c>
      <c r="AM48">
        <v>6</v>
      </c>
      <c r="AN48" s="3">
        <v>5</v>
      </c>
      <c r="AO48" s="85" t="s">
        <v>41</v>
      </c>
      <c r="AP48" s="3">
        <v>0</v>
      </c>
      <c r="AQ48" s="6">
        <f t="shared" si="51"/>
        <v>4.666666666666667</v>
      </c>
      <c r="AR48" s="9" t="str">
        <f t="shared" si="52"/>
        <v>Bench</v>
      </c>
      <c r="AS48" s="6">
        <f t="shared" si="53"/>
        <v>6.5</v>
      </c>
      <c r="AT48" s="6" t="str">
        <f t="shared" si="54"/>
        <v>Reg</v>
      </c>
      <c r="AU48" s="9">
        <f t="shared" si="55"/>
        <v>5.666666666666667</v>
      </c>
      <c r="AV48" s="9" t="str">
        <f t="shared" si="56"/>
        <v>Reg</v>
      </c>
      <c r="AW48" s="53">
        <f t="shared" si="57"/>
        <v>0</v>
      </c>
      <c r="AX48" s="5">
        <f t="shared" si="58"/>
        <v>0</v>
      </c>
      <c r="AY48" s="5">
        <f t="shared" si="59"/>
        <v>0</v>
      </c>
      <c r="AZ48" s="5">
        <f t="shared" si="60"/>
        <v>0</v>
      </c>
      <c r="BA48" s="5">
        <f t="shared" si="61"/>
        <v>0</v>
      </c>
      <c r="BB48" s="5">
        <f t="shared" si="62"/>
        <v>1</v>
      </c>
      <c r="BC48" s="5">
        <f t="shared" si="63"/>
        <v>1</v>
      </c>
      <c r="BD48" s="5">
        <f t="shared" si="64"/>
        <v>1</v>
      </c>
      <c r="BE48" s="3">
        <f t="shared" si="65"/>
        <v>1</v>
      </c>
      <c r="BF48" s="53">
        <f t="shared" si="66"/>
        <v>0</v>
      </c>
      <c r="BG48" s="5">
        <f t="shared" si="67"/>
        <v>1</v>
      </c>
      <c r="BH48" s="5">
        <f t="shared" si="68"/>
        <v>0</v>
      </c>
      <c r="BI48" s="5">
        <f t="shared" si="69"/>
        <v>0</v>
      </c>
      <c r="BJ48" s="5">
        <f t="shared" si="70"/>
        <v>0</v>
      </c>
      <c r="BK48" s="5">
        <f t="shared" si="71"/>
        <v>1</v>
      </c>
      <c r="BL48" s="5">
        <f t="shared" si="72"/>
        <v>1</v>
      </c>
      <c r="BM48" s="5">
        <f t="shared" si="73"/>
        <v>1</v>
      </c>
      <c r="BN48" s="3">
        <f t="shared" si="74"/>
        <v>1</v>
      </c>
      <c r="BO48" s="3">
        <f t="shared" si="75"/>
        <v>0</v>
      </c>
      <c r="BP48" s="7">
        <f t="shared" si="76"/>
        <v>2</v>
      </c>
      <c r="BQ48" t="str">
        <f t="shared" si="77"/>
        <v/>
      </c>
      <c r="BR48" s="91">
        <f>IF(Q48="-","-",VLOOKUP($G48,CTBat!$G$10:$AN$89,BR$9,FALSE)-Q48)</f>
        <v>0</v>
      </c>
      <c r="BS48" s="91">
        <f>IF(R48="-","-",VLOOKUP($G48,CTBat!$G$10:$AN$89,BS$9,FALSE)-R48)</f>
        <v>0</v>
      </c>
      <c r="BT48" s="91">
        <f>IF(S48="-","-",VLOOKUP($G48,CTBat!$G$10:$AN$89,BT$9,FALSE)-S48)</f>
        <v>0</v>
      </c>
      <c r="BU48" s="91">
        <f>IF(T48="-","-",VLOOKUP($G48,CTBat!$G$10:$AN$89,BU$9,FALSE)-T48)</f>
        <v>0</v>
      </c>
      <c r="BV48" s="91">
        <f>IF(U48="-","-",VLOOKUP($G48,CTBat!$G$10:$AN$89,BV$9,FALSE)-U48)</f>
        <v>0</v>
      </c>
      <c r="BW48" s="91">
        <f>IF(V48="-","-",VLOOKUP($G48,CTBat!$G$10:$AN$89,BW$9,FALSE)-V48)</f>
        <v>0</v>
      </c>
      <c r="BX48" s="91">
        <f>IF(W48="-","-",VLOOKUP($G48,CTBat!$G$10:$AN$89,BX$9,FALSE)-W48)</f>
        <v>0</v>
      </c>
      <c r="BY48" s="91">
        <f>IF(X48="-","-",VLOOKUP($G48,CTBat!$G$10:$AN$89,BY$9,FALSE)-X48)</f>
        <v>0</v>
      </c>
      <c r="BZ48" s="91">
        <f>IF(Y48="-","-",VLOOKUP($G48,CTBat!$G$10:$AN$89,BZ$9,FALSE)-Y48)</f>
        <v>0</v>
      </c>
      <c r="CA48" s="91">
        <f>IF(Z48="-","-",VLOOKUP($G48,CTBat!$G$10:$AN$89,CA$9,FALSE)-Z48)</f>
        <v>0</v>
      </c>
      <c r="CB48" s="91">
        <f>IF(AA48="-","-",VLOOKUP($G48,CTBat!$G$10:$AN$89,CB$9,FALSE)-AA48)</f>
        <v>0</v>
      </c>
      <c r="CC48" s="91">
        <f>IF(AB48="-","-",VLOOKUP($G48,CTBat!$G$10:$AN$89,CC$9,FALSE)-AB48)</f>
        <v>0</v>
      </c>
      <c r="CD48" s="91">
        <f>IF(AC48="-","-",VLOOKUP($G48,CTBat!$G$10:$AN$89,CD$9,FALSE)-AC48)</f>
        <v>0</v>
      </c>
      <c r="CE48" s="91" t="str">
        <f>IF(AD48="-","-",VLOOKUP($G48,CTBat!$G$10:$AN$89,CE$9,FALSE)-AD48)</f>
        <v>-</v>
      </c>
      <c r="CF48" s="91" t="str">
        <f>IF(AE48="-","-",VLOOKUP($G48,CTBat!$G$10:$AN$89,CF$9,FALSE)-AE48)</f>
        <v>-</v>
      </c>
      <c r="CG48" s="91" t="str">
        <f>IF(AF48="-","-",VLOOKUP($G48,CTBat!$G$10:$AN$89,CG$9,FALSE)-AF48)</f>
        <v>-</v>
      </c>
      <c r="CH48" s="91" t="str">
        <f>IF(AG48="-","-",VLOOKUP($G48,CTBat!$G$10:$AN$89,CH$9,FALSE)-AG48)</f>
        <v>-</v>
      </c>
      <c r="CI48" s="91" t="str">
        <f>IF(AH48="-","-",VLOOKUP($G48,CTBat!$G$10:$AN$89,CI$9,FALSE)-AH48)</f>
        <v>-</v>
      </c>
      <c r="CJ48" s="91">
        <f>IF(AI48="-","-",VLOOKUP($G48,CTBat!$G$10:$AN$89,CJ$9,FALSE)-AI48)</f>
        <v>0</v>
      </c>
      <c r="CK48" s="91">
        <f>IF(AJ48="-","-",VLOOKUP($G48,CTBat!$G$10:$AN$89,CK$9,FALSE)-AJ48)</f>
        <v>0</v>
      </c>
      <c r="CL48" s="91">
        <f>IF(AK48="-","-",VLOOKUP($G48,CTBat!$G$10:$AN$89,CL$9,FALSE)-AK48)</f>
        <v>0</v>
      </c>
      <c r="CM48" s="91">
        <f>IF(AL48="-","-",VLOOKUP($G48,CTBat!$G$10:$AN$89,CM$9,FALSE)-AL48)</f>
        <v>0</v>
      </c>
      <c r="CN48" s="91">
        <f>IF(AM48="-","-",VLOOKUP($G48,CTBat!$G$10:$AN$89,CN$9,FALSE)-AM48)</f>
        <v>0</v>
      </c>
      <c r="CO48" s="91">
        <f>IF(AN48="-","-",VLOOKUP($G48,CTBat!$G$10:$AN$89,CO$9,FALSE)-AN48)</f>
        <v>0</v>
      </c>
      <c r="CP48" s="91">
        <f t="shared" si="78"/>
        <v>0</v>
      </c>
      <c r="CQ48" s="91">
        <f t="shared" si="79"/>
        <v>0</v>
      </c>
      <c r="CR48" s="91">
        <f t="shared" si="80"/>
        <v>0</v>
      </c>
      <c r="CS48" s="91">
        <f t="shared" si="81"/>
        <v>0</v>
      </c>
      <c r="CT48" s="91">
        <f t="shared" si="82"/>
        <v>0</v>
      </c>
    </row>
    <row r="49" spans="1:98">
      <c r="C49">
        <f t="shared" si="48"/>
        <v>1</v>
      </c>
      <c r="D49">
        <f t="shared" si="49"/>
        <v>1</v>
      </c>
      <c r="E49" t="str">
        <f t="shared" si="50"/>
        <v>K</v>
      </c>
      <c r="F49" t="s">
        <v>98</v>
      </c>
      <c r="G49" t="s">
        <v>498</v>
      </c>
      <c r="H49" t="s">
        <v>384</v>
      </c>
      <c r="I49" t="s">
        <v>213</v>
      </c>
      <c r="J49">
        <v>32</v>
      </c>
      <c r="K49" t="s">
        <v>107</v>
      </c>
      <c r="L49" t="s">
        <v>107</v>
      </c>
      <c r="M49" t="s">
        <v>47</v>
      </c>
      <c r="N49" s="216" t="s">
        <v>47</v>
      </c>
      <c r="O49" t="s">
        <v>230</v>
      </c>
      <c r="P49" s="216" t="s">
        <v>229</v>
      </c>
      <c r="Q49">
        <v>6</v>
      </c>
      <c r="R49">
        <v>4</v>
      </c>
      <c r="S49">
        <v>3</v>
      </c>
      <c r="T49">
        <v>8</v>
      </c>
      <c r="U49" s="216">
        <v>6</v>
      </c>
      <c r="V49">
        <v>6</v>
      </c>
      <c r="W49">
        <v>4</v>
      </c>
      <c r="X49">
        <v>3</v>
      </c>
      <c r="Y49">
        <v>8</v>
      </c>
      <c r="Z49" s="216">
        <v>6</v>
      </c>
      <c r="AA49">
        <v>4</v>
      </c>
      <c r="AB49">
        <v>2</v>
      </c>
      <c r="AC49">
        <v>1</v>
      </c>
      <c r="AD49" t="s">
        <v>41</v>
      </c>
      <c r="AE49" t="s">
        <v>41</v>
      </c>
      <c r="AF49">
        <v>6</v>
      </c>
      <c r="AG49">
        <v>1</v>
      </c>
      <c r="AH49">
        <v>2</v>
      </c>
      <c r="AI49" t="s">
        <v>41</v>
      </c>
      <c r="AJ49" t="s">
        <v>41</v>
      </c>
      <c r="AK49" s="216" t="s">
        <v>41</v>
      </c>
      <c r="AL49">
        <v>7</v>
      </c>
      <c r="AM49">
        <v>10</v>
      </c>
      <c r="AN49" s="216">
        <v>10</v>
      </c>
      <c r="AO49" s="85" t="s">
        <v>41</v>
      </c>
      <c r="AP49" s="216">
        <v>1</v>
      </c>
      <c r="AQ49" s="6">
        <f t="shared" si="51"/>
        <v>6.166666666666667</v>
      </c>
      <c r="AR49" s="9" t="str">
        <f t="shared" si="52"/>
        <v>Reg</v>
      </c>
      <c r="AS49" s="6">
        <f t="shared" si="53"/>
        <v>6.166666666666667</v>
      </c>
      <c r="AT49" s="6" t="str">
        <f t="shared" si="54"/>
        <v>Reg</v>
      </c>
      <c r="AU49" s="9">
        <f t="shared" si="55"/>
        <v>6.166666666666667</v>
      </c>
      <c r="AV49" s="9" t="str">
        <f t="shared" si="56"/>
        <v>Reg</v>
      </c>
      <c r="AW49" s="53">
        <f t="shared" si="57"/>
        <v>1</v>
      </c>
      <c r="AX49" s="215">
        <f t="shared" si="58"/>
        <v>1</v>
      </c>
      <c r="AY49" s="215">
        <f t="shared" si="59"/>
        <v>0</v>
      </c>
      <c r="AZ49" s="215">
        <f t="shared" si="60"/>
        <v>0</v>
      </c>
      <c r="BA49" s="215">
        <f t="shared" si="61"/>
        <v>0</v>
      </c>
      <c r="BB49" s="215">
        <f t="shared" si="62"/>
        <v>0</v>
      </c>
      <c r="BC49" s="215">
        <f t="shared" si="63"/>
        <v>1</v>
      </c>
      <c r="BD49" s="215">
        <f t="shared" si="64"/>
        <v>1</v>
      </c>
      <c r="BE49" s="216">
        <f t="shared" si="65"/>
        <v>1</v>
      </c>
      <c r="BF49" s="53">
        <f t="shared" si="66"/>
        <v>1</v>
      </c>
      <c r="BG49" s="215">
        <f t="shared" si="67"/>
        <v>1</v>
      </c>
      <c r="BH49" s="215">
        <f t="shared" si="68"/>
        <v>0</v>
      </c>
      <c r="BI49" s="215">
        <f t="shared" si="69"/>
        <v>0</v>
      </c>
      <c r="BJ49" s="215">
        <f t="shared" si="70"/>
        <v>0</v>
      </c>
      <c r="BK49" s="215">
        <f t="shared" si="71"/>
        <v>0</v>
      </c>
      <c r="BL49" s="215">
        <f t="shared" si="72"/>
        <v>1</v>
      </c>
      <c r="BM49" s="215">
        <f t="shared" si="73"/>
        <v>1</v>
      </c>
      <c r="BN49" s="216">
        <f t="shared" si="74"/>
        <v>1</v>
      </c>
      <c r="BO49" s="216">
        <f t="shared" si="75"/>
        <v>4</v>
      </c>
      <c r="BP49" s="7">
        <f t="shared" si="76"/>
        <v>1</v>
      </c>
      <c r="BQ49" t="str">
        <f t="shared" si="77"/>
        <v>Yes</v>
      </c>
      <c r="BR49" s="91">
        <f>IF(Q49="-","-",VLOOKUP($G49,CTBat!$G$10:$AN$89,BR$9,FALSE)-Q49)</f>
        <v>0</v>
      </c>
      <c r="BS49" s="91">
        <f>IF(R49="-","-",VLOOKUP($G49,CTBat!$G$10:$AN$89,BS$9,FALSE)-R49)</f>
        <v>0</v>
      </c>
      <c r="BT49" s="91">
        <f>IF(S49="-","-",VLOOKUP($G49,CTBat!$G$10:$AN$89,BT$9,FALSE)-S49)</f>
        <v>0</v>
      </c>
      <c r="BU49" s="91">
        <f>IF(T49="-","-",VLOOKUP($G49,CTBat!$G$10:$AN$89,BU$9,FALSE)-T49)</f>
        <v>0</v>
      </c>
      <c r="BV49" s="91">
        <f>IF(U49="-","-",VLOOKUP($G49,CTBat!$G$10:$AN$89,BV$9,FALSE)-U49)</f>
        <v>0</v>
      </c>
      <c r="BW49" s="91">
        <f>IF(V49="-","-",VLOOKUP($G49,CTBat!$G$10:$AN$89,BW$9,FALSE)-V49)</f>
        <v>0</v>
      </c>
      <c r="BX49" s="91">
        <f>IF(W49="-","-",VLOOKUP($G49,CTBat!$G$10:$AN$89,BX$9,FALSE)-W49)</f>
        <v>0</v>
      </c>
      <c r="BY49" s="91">
        <f>IF(X49="-","-",VLOOKUP($G49,CTBat!$G$10:$AN$89,BY$9,FALSE)-X49)</f>
        <v>0</v>
      </c>
      <c r="BZ49" s="91">
        <f>IF(Y49="-","-",VLOOKUP($G49,CTBat!$G$10:$AN$89,BZ$9,FALSE)-Y49)</f>
        <v>0</v>
      </c>
      <c r="CA49" s="91">
        <f>IF(Z49="-","-",VLOOKUP($G49,CTBat!$G$10:$AN$89,CA$9,FALSE)-Z49)</f>
        <v>0</v>
      </c>
      <c r="CB49" s="91">
        <f>IF(AA49="-","-",VLOOKUP($G49,CTBat!$G$10:$AN$89,CB$9,FALSE)-AA49)</f>
        <v>0</v>
      </c>
      <c r="CC49" s="91">
        <f>IF(AB49="-","-",VLOOKUP($G49,CTBat!$G$10:$AN$89,CC$9,FALSE)-AB49)</f>
        <v>0</v>
      </c>
      <c r="CD49" s="91">
        <f>IF(AC49="-","-",VLOOKUP($G49,CTBat!$G$10:$AN$89,CD$9,FALSE)-AC49)</f>
        <v>0</v>
      </c>
      <c r="CE49" s="91" t="str">
        <f>IF(AD49="-","-",VLOOKUP($G49,CTBat!$G$10:$AN$89,CE$9,FALSE)-AD49)</f>
        <v>-</v>
      </c>
      <c r="CF49" s="91" t="str">
        <f>IF(AE49="-","-",VLOOKUP($G49,CTBat!$G$10:$AN$89,CF$9,FALSE)-AE49)</f>
        <v>-</v>
      </c>
      <c r="CG49" s="91">
        <f>IF(AF49="-","-",VLOOKUP($G49,CTBat!$G$10:$AN$89,CG$9,FALSE)-AF49)</f>
        <v>0</v>
      </c>
      <c r="CH49" s="91">
        <f>IF(AG49="-","-",VLOOKUP($G49,CTBat!$G$10:$AN$89,CH$9,FALSE)-AG49)</f>
        <v>0</v>
      </c>
      <c r="CI49" s="91">
        <f>IF(AH49="-","-",VLOOKUP($G49,CTBat!$G$10:$AN$89,CI$9,FALSE)-AH49)</f>
        <v>0</v>
      </c>
      <c r="CJ49" s="91" t="str">
        <f>IF(AI49="-","-",VLOOKUP($G49,CTBat!$G$10:$AN$89,CJ$9,FALSE)-AI49)</f>
        <v>-</v>
      </c>
      <c r="CK49" s="91" t="str">
        <f>IF(AJ49="-","-",VLOOKUP($G49,CTBat!$G$10:$AN$89,CK$9,FALSE)-AJ49)</f>
        <v>-</v>
      </c>
      <c r="CL49" s="91" t="str">
        <f>IF(AK49="-","-",VLOOKUP($G49,CTBat!$G$10:$AN$89,CL$9,FALSE)-AK49)</f>
        <v>-</v>
      </c>
      <c r="CM49" s="91">
        <f>IF(AL49="-","-",VLOOKUP($G49,CTBat!$G$10:$AN$89,CM$9,FALSE)-AL49)</f>
        <v>0</v>
      </c>
      <c r="CN49" s="91">
        <f>IF(AM49="-","-",VLOOKUP($G49,CTBat!$G$10:$AN$89,CN$9,FALSE)-AM49)</f>
        <v>0</v>
      </c>
      <c r="CO49" s="91">
        <f>IF(AN49="-","-",VLOOKUP($G49,CTBat!$G$10:$AN$89,CO$9,FALSE)-AN49)</f>
        <v>0</v>
      </c>
      <c r="CP49" s="91">
        <f t="shared" si="78"/>
        <v>0</v>
      </c>
      <c r="CQ49" s="91">
        <f t="shared" si="79"/>
        <v>0</v>
      </c>
      <c r="CR49" s="91">
        <f t="shared" si="80"/>
        <v>0</v>
      </c>
      <c r="CS49" s="91">
        <f t="shared" si="81"/>
        <v>0</v>
      </c>
      <c r="CT49" s="91">
        <f t="shared" si="82"/>
        <v>0</v>
      </c>
    </row>
    <row r="50" spans="1:98">
      <c r="A50" s="27"/>
      <c r="B50" s="27"/>
      <c r="C50" s="27">
        <f t="shared" si="48"/>
        <v>5</v>
      </c>
      <c r="D50" s="27" t="str">
        <f t="shared" si="49"/>
        <v>-</v>
      </c>
      <c r="E50" s="27" t="str">
        <f t="shared" si="50"/>
        <v>K</v>
      </c>
      <c r="F50" s="27" t="s">
        <v>97</v>
      </c>
      <c r="G50" s="27" t="s">
        <v>500</v>
      </c>
      <c r="H50" s="27" t="s">
        <v>383</v>
      </c>
      <c r="I50" s="27" t="s">
        <v>327</v>
      </c>
      <c r="J50" s="27">
        <v>22</v>
      </c>
      <c r="K50" s="27" t="s">
        <v>107</v>
      </c>
      <c r="L50" s="27" t="s">
        <v>107</v>
      </c>
      <c r="M50" s="27" t="s">
        <v>47</v>
      </c>
      <c r="N50" s="28" t="s">
        <v>47</v>
      </c>
      <c r="O50" s="27" t="s">
        <v>232</v>
      </c>
      <c r="P50" s="28" t="s">
        <v>231</v>
      </c>
      <c r="Q50" s="27">
        <v>5</v>
      </c>
      <c r="R50" s="27">
        <v>3</v>
      </c>
      <c r="S50" s="27">
        <v>3</v>
      </c>
      <c r="T50" s="27">
        <v>2</v>
      </c>
      <c r="U50" s="28">
        <v>3</v>
      </c>
      <c r="V50" s="27">
        <v>7</v>
      </c>
      <c r="W50" s="27">
        <v>6</v>
      </c>
      <c r="X50" s="27">
        <v>7</v>
      </c>
      <c r="Y50" s="27">
        <v>4</v>
      </c>
      <c r="Z50" s="28">
        <v>5</v>
      </c>
      <c r="AA50" s="27">
        <v>2</v>
      </c>
      <c r="AB50" s="27">
        <v>3</v>
      </c>
      <c r="AC50" s="27">
        <v>1</v>
      </c>
      <c r="AD50" s="27" t="s">
        <v>41</v>
      </c>
      <c r="AE50" s="27">
        <v>3</v>
      </c>
      <c r="AF50" s="27" t="s">
        <v>41</v>
      </c>
      <c r="AG50" s="27" t="s">
        <v>41</v>
      </c>
      <c r="AH50" s="27" t="s">
        <v>41</v>
      </c>
      <c r="AI50" s="27" t="s">
        <v>41</v>
      </c>
      <c r="AJ50" s="27" t="s">
        <v>41</v>
      </c>
      <c r="AK50" s="28" t="s">
        <v>41</v>
      </c>
      <c r="AL50" s="27">
        <v>2</v>
      </c>
      <c r="AM50" s="27">
        <v>2</v>
      </c>
      <c r="AN50" s="28">
        <v>2</v>
      </c>
      <c r="AO50" s="86" t="s">
        <v>41</v>
      </c>
      <c r="AP50" s="28">
        <v>0</v>
      </c>
      <c r="AQ50" s="29">
        <f t="shared" si="51"/>
        <v>2.8333333333333335</v>
      </c>
      <c r="AR50" s="30" t="str">
        <f t="shared" si="52"/>
        <v>Minors</v>
      </c>
      <c r="AS50" s="29">
        <f t="shared" si="53"/>
        <v>6</v>
      </c>
      <c r="AT50" s="29" t="str">
        <f t="shared" si="54"/>
        <v>Reg</v>
      </c>
      <c r="AU50" s="30">
        <f t="shared" si="55"/>
        <v>6</v>
      </c>
      <c r="AV50" s="30" t="str">
        <f t="shared" si="56"/>
        <v>Reg</v>
      </c>
      <c r="AW50" s="71">
        <f t="shared" si="57"/>
        <v>0</v>
      </c>
      <c r="AX50" s="72">
        <f t="shared" si="58"/>
        <v>0</v>
      </c>
      <c r="AY50" s="72">
        <f t="shared" si="59"/>
        <v>0</v>
      </c>
      <c r="AZ50" s="72">
        <f t="shared" si="60"/>
        <v>0</v>
      </c>
      <c r="BA50" s="72">
        <f t="shared" si="61"/>
        <v>0</v>
      </c>
      <c r="BB50" s="72">
        <f t="shared" si="62"/>
        <v>0</v>
      </c>
      <c r="BC50" s="72">
        <f t="shared" si="63"/>
        <v>0</v>
      </c>
      <c r="BD50" s="72">
        <f t="shared" si="64"/>
        <v>0</v>
      </c>
      <c r="BE50" s="28">
        <f t="shared" si="65"/>
        <v>0</v>
      </c>
      <c r="BF50" s="71">
        <f t="shared" si="66"/>
        <v>0</v>
      </c>
      <c r="BG50" s="72">
        <f t="shared" si="67"/>
        <v>0</v>
      </c>
      <c r="BH50" s="72">
        <f t="shared" si="68"/>
        <v>0</v>
      </c>
      <c r="BI50" s="72">
        <f t="shared" si="69"/>
        <v>0</v>
      </c>
      <c r="BJ50" s="72">
        <f t="shared" si="70"/>
        <v>1</v>
      </c>
      <c r="BK50" s="72">
        <f t="shared" si="71"/>
        <v>1</v>
      </c>
      <c r="BL50" s="72">
        <f t="shared" si="72"/>
        <v>1</v>
      </c>
      <c r="BM50" s="72">
        <f t="shared" si="73"/>
        <v>1</v>
      </c>
      <c r="BN50" s="28">
        <f t="shared" si="74"/>
        <v>1</v>
      </c>
      <c r="BO50" s="28">
        <f t="shared" si="75"/>
        <v>0</v>
      </c>
      <c r="BP50" s="31">
        <f t="shared" si="76"/>
        <v>0</v>
      </c>
      <c r="BQ50" s="27" t="str">
        <f t="shared" si="77"/>
        <v/>
      </c>
      <c r="BR50" s="91">
        <f>IF(Q50="-","-",VLOOKUP($G50,CTBat!$G$10:$AN$89,BR$9,FALSE)-Q50)</f>
        <v>0</v>
      </c>
      <c r="BS50" s="91">
        <f>IF(R50="-","-",VLOOKUP($G50,CTBat!$G$10:$AN$89,BS$9,FALSE)-R50)</f>
        <v>0</v>
      </c>
      <c r="BT50" s="91">
        <f>IF(S50="-","-",VLOOKUP($G50,CTBat!$G$10:$AN$89,BT$9,FALSE)-S50)</f>
        <v>0</v>
      </c>
      <c r="BU50" s="91">
        <f>IF(T50="-","-",VLOOKUP($G50,CTBat!$G$10:$AN$89,BU$9,FALSE)-T50)</f>
        <v>0</v>
      </c>
      <c r="BV50" s="91">
        <f>IF(U50="-","-",VLOOKUP($G50,CTBat!$G$10:$AN$89,BV$9,FALSE)-U50)</f>
        <v>0</v>
      </c>
      <c r="BW50" s="91">
        <f>IF(V50="-","-",VLOOKUP($G50,CTBat!$G$10:$AN$89,BW$9,FALSE)-V50)</f>
        <v>0</v>
      </c>
      <c r="BX50" s="91">
        <f>IF(W50="-","-",VLOOKUP($G50,CTBat!$G$10:$AN$89,BX$9,FALSE)-W50)</f>
        <v>0</v>
      </c>
      <c r="BY50" s="91">
        <f>IF(X50="-","-",VLOOKUP($G50,CTBat!$G$10:$AN$89,BY$9,FALSE)-X50)</f>
        <v>0</v>
      </c>
      <c r="BZ50" s="91">
        <f>IF(Y50="-","-",VLOOKUP($G50,CTBat!$G$10:$AN$89,BZ$9,FALSE)-Y50)</f>
        <v>0</v>
      </c>
      <c r="CA50" s="91">
        <f>IF(Z50="-","-",VLOOKUP($G50,CTBat!$G$10:$AN$89,CA$9,FALSE)-Z50)</f>
        <v>0</v>
      </c>
      <c r="CB50" s="91">
        <f>IF(AA50="-","-",VLOOKUP($G50,CTBat!$G$10:$AN$89,CB$9,FALSE)-AA50)</f>
        <v>0</v>
      </c>
      <c r="CC50" s="91">
        <f>IF(AB50="-","-",VLOOKUP($G50,CTBat!$G$10:$AN$89,CC$9,FALSE)-AB50)</f>
        <v>0</v>
      </c>
      <c r="CD50" s="91">
        <f>IF(AC50="-","-",VLOOKUP($G50,CTBat!$G$10:$AN$89,CD$9,FALSE)-AC50)</f>
        <v>0</v>
      </c>
      <c r="CE50" s="91" t="str">
        <f>IF(AD50="-","-",VLOOKUP($G50,CTBat!$G$10:$AN$89,CE$9,FALSE)-AD50)</f>
        <v>-</v>
      </c>
      <c r="CF50" s="91">
        <f>IF(AE50="-","-",VLOOKUP($G50,CTBat!$G$10:$AN$89,CF$9,FALSE)-AE50)</f>
        <v>0</v>
      </c>
      <c r="CG50" s="91" t="str">
        <f>IF(AF50="-","-",VLOOKUP($G50,CTBat!$G$10:$AN$89,CG$9,FALSE)-AF50)</f>
        <v>-</v>
      </c>
      <c r="CH50" s="91" t="str">
        <f>IF(AG50="-","-",VLOOKUP($G50,CTBat!$G$10:$AN$89,CH$9,FALSE)-AG50)</f>
        <v>-</v>
      </c>
      <c r="CI50" s="91" t="str">
        <f>IF(AH50="-","-",VLOOKUP($G50,CTBat!$G$10:$AN$89,CI$9,FALSE)-AH50)</f>
        <v>-</v>
      </c>
      <c r="CJ50" s="91" t="str">
        <f>IF(AI50="-","-",VLOOKUP($G50,CTBat!$G$10:$AN$89,CJ$9,FALSE)-AI50)</f>
        <v>-</v>
      </c>
      <c r="CK50" s="91" t="str">
        <f>IF(AJ50="-","-",VLOOKUP($G50,CTBat!$G$10:$AN$89,CK$9,FALSE)-AJ50)</f>
        <v>-</v>
      </c>
      <c r="CL50" s="91" t="str">
        <f>IF(AK50="-","-",VLOOKUP($G50,CTBat!$G$10:$AN$89,CL$9,FALSE)-AK50)</f>
        <v>-</v>
      </c>
      <c r="CM50" s="91">
        <f>IF(AL50="-","-",VLOOKUP($G50,CTBat!$G$10:$AN$89,CM$9,FALSE)-AL50)</f>
        <v>0</v>
      </c>
      <c r="CN50" s="91">
        <f>IF(AM50="-","-",VLOOKUP($G50,CTBat!$G$10:$AN$89,CN$9,FALSE)-AM50)</f>
        <v>0</v>
      </c>
      <c r="CO50" s="91">
        <f>IF(AN50="-","-",VLOOKUP($G50,CTBat!$G$10:$AN$89,CO$9,FALSE)-AN50)</f>
        <v>0</v>
      </c>
      <c r="CP50" s="91">
        <f t="shared" si="78"/>
        <v>0</v>
      </c>
      <c r="CQ50" s="91">
        <f t="shared" si="79"/>
        <v>0</v>
      </c>
      <c r="CR50" s="91">
        <f t="shared" si="80"/>
        <v>0</v>
      </c>
      <c r="CS50" s="91">
        <f t="shared" si="81"/>
        <v>0</v>
      </c>
      <c r="CT50" s="91">
        <f t="shared" si="82"/>
        <v>0</v>
      </c>
    </row>
    <row r="51" spans="1:98">
      <c r="A51" s="91"/>
      <c r="B51" s="91"/>
      <c r="C51" s="91">
        <f t="shared" si="48"/>
        <v>2</v>
      </c>
      <c r="D51" s="91">
        <f t="shared" si="49"/>
        <v>2</v>
      </c>
      <c r="E51" s="91" t="str">
        <f t="shared" si="50"/>
        <v>K</v>
      </c>
      <c r="F51" s="91" t="s">
        <v>99</v>
      </c>
      <c r="G51" s="91" t="s">
        <v>521</v>
      </c>
      <c r="H51" s="91" t="s">
        <v>25</v>
      </c>
      <c r="I51" s="91" t="s">
        <v>212</v>
      </c>
      <c r="J51" s="91">
        <v>25</v>
      </c>
      <c r="K51" s="91" t="s">
        <v>107</v>
      </c>
      <c r="L51" s="91" t="s">
        <v>107</v>
      </c>
      <c r="M51" s="91" t="s">
        <v>47</v>
      </c>
      <c r="N51" s="282" t="s">
        <v>42</v>
      </c>
      <c r="O51" s="91" t="s">
        <v>228</v>
      </c>
      <c r="P51" s="282" t="s">
        <v>228</v>
      </c>
      <c r="Q51" s="91">
        <v>7</v>
      </c>
      <c r="R51" s="91">
        <v>6</v>
      </c>
      <c r="S51" s="91">
        <v>2</v>
      </c>
      <c r="T51" s="91">
        <v>7</v>
      </c>
      <c r="U51" s="282">
        <v>7</v>
      </c>
      <c r="V51" s="91">
        <v>7</v>
      </c>
      <c r="W51" s="91">
        <v>6</v>
      </c>
      <c r="X51" s="91">
        <v>2</v>
      </c>
      <c r="Y51" s="91">
        <v>7</v>
      </c>
      <c r="Z51" s="282">
        <v>7</v>
      </c>
      <c r="AA51" s="91">
        <v>9</v>
      </c>
      <c r="AB51" s="91">
        <v>4</v>
      </c>
      <c r="AC51" s="91">
        <v>1</v>
      </c>
      <c r="AD51" s="91" t="s">
        <v>41</v>
      </c>
      <c r="AE51" s="91" t="s">
        <v>41</v>
      </c>
      <c r="AF51" s="91">
        <v>1</v>
      </c>
      <c r="AG51" s="91">
        <v>5</v>
      </c>
      <c r="AH51" s="91">
        <v>3</v>
      </c>
      <c r="AI51" s="91" t="s">
        <v>41</v>
      </c>
      <c r="AJ51" s="91" t="s">
        <v>41</v>
      </c>
      <c r="AK51" s="282" t="s">
        <v>41</v>
      </c>
      <c r="AL51" s="91">
        <v>3</v>
      </c>
      <c r="AM51" s="91">
        <v>5</v>
      </c>
      <c r="AN51" s="282">
        <v>4</v>
      </c>
      <c r="AO51" s="92" t="s">
        <v>41</v>
      </c>
      <c r="AP51" s="282">
        <v>0</v>
      </c>
      <c r="AQ51" s="93">
        <f t="shared" si="51"/>
        <v>5.833333333333333</v>
      </c>
      <c r="AR51" s="94" t="str">
        <f t="shared" si="52"/>
        <v>Reg</v>
      </c>
      <c r="AS51" s="93">
        <f t="shared" si="53"/>
        <v>5.833333333333333</v>
      </c>
      <c r="AT51" s="93" t="str">
        <f t="shared" si="54"/>
        <v>Reg</v>
      </c>
      <c r="AU51" s="94">
        <f t="shared" si="55"/>
        <v>5.833333333333333</v>
      </c>
      <c r="AV51" s="94" t="str">
        <f t="shared" si="56"/>
        <v>Reg</v>
      </c>
      <c r="AW51" s="95">
        <f t="shared" si="57"/>
        <v>0</v>
      </c>
      <c r="AX51" s="96">
        <f t="shared" si="58"/>
        <v>1</v>
      </c>
      <c r="AY51" s="96">
        <f t="shared" si="59"/>
        <v>0</v>
      </c>
      <c r="AZ51" s="96">
        <f t="shared" si="60"/>
        <v>0</v>
      </c>
      <c r="BA51" s="96">
        <f t="shared" si="61"/>
        <v>0</v>
      </c>
      <c r="BB51" s="96">
        <f t="shared" si="62"/>
        <v>1</v>
      </c>
      <c r="BC51" s="96">
        <f t="shared" si="63"/>
        <v>1</v>
      </c>
      <c r="BD51" s="96">
        <f t="shared" si="64"/>
        <v>1</v>
      </c>
      <c r="BE51" s="282">
        <f t="shared" si="65"/>
        <v>1</v>
      </c>
      <c r="BF51" s="95">
        <f t="shared" si="66"/>
        <v>0</v>
      </c>
      <c r="BG51" s="96">
        <f t="shared" si="67"/>
        <v>1</v>
      </c>
      <c r="BH51" s="96">
        <f t="shared" si="68"/>
        <v>0</v>
      </c>
      <c r="BI51" s="96">
        <f t="shared" si="69"/>
        <v>0</v>
      </c>
      <c r="BJ51" s="96">
        <f t="shared" si="70"/>
        <v>0</v>
      </c>
      <c r="BK51" s="96">
        <f t="shared" si="71"/>
        <v>1</v>
      </c>
      <c r="BL51" s="96">
        <f t="shared" si="72"/>
        <v>1</v>
      </c>
      <c r="BM51" s="96">
        <f t="shared" si="73"/>
        <v>1</v>
      </c>
      <c r="BN51" s="282">
        <f t="shared" si="74"/>
        <v>1</v>
      </c>
      <c r="BO51" s="282">
        <f t="shared" si="75"/>
        <v>0</v>
      </c>
      <c r="BP51" s="97">
        <f t="shared" si="76"/>
        <v>1</v>
      </c>
      <c r="BQ51" s="91" t="str">
        <f t="shared" si="77"/>
        <v/>
      </c>
      <c r="BR51" s="91">
        <f>IF(Q51="-","-",VLOOKUP($G51,CTBat!$G$10:$AN$89,BR$9,FALSE)-Q51)</f>
        <v>0</v>
      </c>
      <c r="BS51" s="91">
        <f>IF(R51="-","-",VLOOKUP($G51,CTBat!$G$10:$AN$89,BS$9,FALSE)-R51)</f>
        <v>0</v>
      </c>
      <c r="BT51" s="91">
        <f>IF(S51="-","-",VLOOKUP($G51,CTBat!$G$10:$AN$89,BT$9,FALSE)-S51)</f>
        <v>0</v>
      </c>
      <c r="BU51" s="91">
        <f>IF(T51="-","-",VLOOKUP($G51,CTBat!$G$10:$AN$89,BU$9,FALSE)-T51)</f>
        <v>0</v>
      </c>
      <c r="BV51" s="91">
        <f>IF(U51="-","-",VLOOKUP($G51,CTBat!$G$10:$AN$89,BV$9,FALSE)-U51)</f>
        <v>0</v>
      </c>
      <c r="BW51" s="91">
        <f>IF(V51="-","-",VLOOKUP($G51,CTBat!$G$10:$AN$89,BW$9,FALSE)-V51)</f>
        <v>0</v>
      </c>
      <c r="BX51" s="91">
        <f>IF(W51="-","-",VLOOKUP($G51,CTBat!$G$10:$AN$89,BX$9,FALSE)-W51)</f>
        <v>0</v>
      </c>
      <c r="BY51" s="91">
        <f>IF(X51="-","-",VLOOKUP($G51,CTBat!$G$10:$AN$89,BY$9,FALSE)-X51)</f>
        <v>0</v>
      </c>
      <c r="BZ51" s="91">
        <f>IF(Y51="-","-",VLOOKUP($G51,CTBat!$G$10:$AN$89,BZ$9,FALSE)-Y51)</f>
        <v>0</v>
      </c>
      <c r="CA51" s="91">
        <f>IF(Z51="-","-",VLOOKUP($G51,CTBat!$G$10:$AN$89,CA$9,FALSE)-Z51)</f>
        <v>0</v>
      </c>
      <c r="CB51" s="91">
        <f>IF(AA51="-","-",VLOOKUP($G51,CTBat!$G$10:$AN$89,CB$9,FALSE)-AA51)</f>
        <v>0</v>
      </c>
      <c r="CC51" s="91">
        <f>IF(AB51="-","-",VLOOKUP($G51,CTBat!$G$10:$AN$89,CC$9,FALSE)-AB51)</f>
        <v>0</v>
      </c>
      <c r="CD51" s="91">
        <f>IF(AC51="-","-",VLOOKUP($G51,CTBat!$G$10:$AN$89,CD$9,FALSE)-AC51)</f>
        <v>0</v>
      </c>
      <c r="CE51" s="91" t="str">
        <f>IF(AD51="-","-",VLOOKUP($G51,CTBat!$G$10:$AN$89,CE$9,FALSE)-AD51)</f>
        <v>-</v>
      </c>
      <c r="CF51" s="91" t="str">
        <f>IF(AE51="-","-",VLOOKUP($G51,CTBat!$G$10:$AN$89,CF$9,FALSE)-AE51)</f>
        <v>-</v>
      </c>
      <c r="CG51" s="91">
        <f>IF(AF51="-","-",VLOOKUP($G51,CTBat!$G$10:$AN$89,CG$9,FALSE)-AF51)</f>
        <v>0</v>
      </c>
      <c r="CH51" s="91">
        <f>IF(AG51="-","-",VLOOKUP($G51,CTBat!$G$10:$AN$89,CH$9,FALSE)-AG51)</f>
        <v>0</v>
      </c>
      <c r="CI51" s="91">
        <f>IF(AH51="-","-",VLOOKUP($G51,CTBat!$G$10:$AN$89,CI$9,FALSE)-AH51)</f>
        <v>0</v>
      </c>
      <c r="CJ51" s="91" t="str">
        <f>IF(AI51="-","-",VLOOKUP($G51,CTBat!$G$10:$AN$89,CJ$9,FALSE)-AI51)</f>
        <v>-</v>
      </c>
      <c r="CK51" s="91" t="str">
        <f>IF(AJ51="-","-",VLOOKUP($G51,CTBat!$G$10:$AN$89,CK$9,FALSE)-AJ51)</f>
        <v>-</v>
      </c>
      <c r="CL51" s="91" t="str">
        <f>IF(AK51="-","-",VLOOKUP($G51,CTBat!$G$10:$AN$89,CL$9,FALSE)-AK51)</f>
        <v>-</v>
      </c>
      <c r="CM51" s="91">
        <f>IF(AL51="-","-",VLOOKUP($G51,CTBat!$G$10:$AN$89,CM$9,FALSE)-AL51)</f>
        <v>0</v>
      </c>
      <c r="CN51" s="91">
        <f>IF(AM51="-","-",VLOOKUP($G51,CTBat!$G$10:$AN$89,CN$9,FALSE)-AM51)</f>
        <v>0</v>
      </c>
      <c r="CO51" s="91">
        <f>IF(AN51="-","-",VLOOKUP($G51,CTBat!$G$10:$AN$89,CO$9,FALSE)-AN51)</f>
        <v>0</v>
      </c>
      <c r="CP51" s="91">
        <f t="shared" si="78"/>
        <v>0</v>
      </c>
      <c r="CQ51" s="91">
        <f t="shared" si="79"/>
        <v>0</v>
      </c>
      <c r="CR51" s="91">
        <f t="shared" si="80"/>
        <v>0</v>
      </c>
      <c r="CS51" s="91">
        <f t="shared" si="81"/>
        <v>0</v>
      </c>
      <c r="CT51" s="91">
        <f t="shared" si="82"/>
        <v>0</v>
      </c>
    </row>
    <row r="52" spans="1:98">
      <c r="C52">
        <f t="shared" si="48"/>
        <v>2</v>
      </c>
      <c r="D52">
        <f t="shared" si="49"/>
        <v>2</v>
      </c>
      <c r="E52" t="str">
        <f t="shared" si="50"/>
        <v>K</v>
      </c>
      <c r="F52" t="s">
        <v>95</v>
      </c>
      <c r="G52" t="s">
        <v>570</v>
      </c>
      <c r="H52" t="s">
        <v>384</v>
      </c>
      <c r="I52" t="s">
        <v>213</v>
      </c>
      <c r="J52">
        <v>33</v>
      </c>
      <c r="K52" t="s">
        <v>107</v>
      </c>
      <c r="L52" t="s">
        <v>107</v>
      </c>
      <c r="M52" t="s">
        <v>47</v>
      </c>
      <c r="N52" s="3" t="s">
        <v>47</v>
      </c>
      <c r="O52" t="s">
        <v>228</v>
      </c>
      <c r="P52" s="3" t="s">
        <v>232</v>
      </c>
      <c r="Q52">
        <v>5</v>
      </c>
      <c r="R52">
        <v>6</v>
      </c>
      <c r="S52">
        <v>6</v>
      </c>
      <c r="T52">
        <v>8</v>
      </c>
      <c r="U52" s="3">
        <v>3</v>
      </c>
      <c r="V52">
        <v>5</v>
      </c>
      <c r="W52">
        <v>7</v>
      </c>
      <c r="X52">
        <v>6</v>
      </c>
      <c r="Y52">
        <v>8</v>
      </c>
      <c r="Z52" s="3">
        <v>3</v>
      </c>
      <c r="AA52">
        <v>3</v>
      </c>
      <c r="AB52">
        <v>3</v>
      </c>
      <c r="AC52">
        <v>7</v>
      </c>
      <c r="AD52">
        <v>7</v>
      </c>
      <c r="AE52">
        <v>2</v>
      </c>
      <c r="AF52" t="s">
        <v>41</v>
      </c>
      <c r="AG52" t="s">
        <v>41</v>
      </c>
      <c r="AH52" t="s">
        <v>41</v>
      </c>
      <c r="AI52">
        <v>1</v>
      </c>
      <c r="AJ52" t="s">
        <v>41</v>
      </c>
      <c r="AK52" s="3">
        <v>2</v>
      </c>
      <c r="AL52">
        <v>1</v>
      </c>
      <c r="AM52">
        <v>1</v>
      </c>
      <c r="AN52" s="3">
        <v>1</v>
      </c>
      <c r="AO52" s="85" t="s">
        <v>41</v>
      </c>
      <c r="AP52" s="3">
        <v>0</v>
      </c>
      <c r="AQ52" s="6">
        <f t="shared" si="51"/>
        <v>5.833333333333333</v>
      </c>
      <c r="AR52" s="9" t="str">
        <f t="shared" si="52"/>
        <v>Reg</v>
      </c>
      <c r="AS52" s="6">
        <f t="shared" si="53"/>
        <v>5.833333333333333</v>
      </c>
      <c r="AT52" s="6" t="str">
        <f t="shared" si="54"/>
        <v>Reg</v>
      </c>
      <c r="AU52" s="9">
        <f t="shared" si="55"/>
        <v>5.833333333333333</v>
      </c>
      <c r="AV52" s="9" t="str">
        <f t="shared" si="56"/>
        <v>Reg</v>
      </c>
      <c r="AW52" s="53">
        <f t="shared" si="57"/>
        <v>0</v>
      </c>
      <c r="AX52" s="5">
        <f t="shared" si="58"/>
        <v>1</v>
      </c>
      <c r="AY52" s="5">
        <f t="shared" si="59"/>
        <v>0</v>
      </c>
      <c r="AZ52" s="5">
        <f t="shared" si="60"/>
        <v>0</v>
      </c>
      <c r="BA52" s="5">
        <f t="shared" si="61"/>
        <v>0</v>
      </c>
      <c r="BB52" s="5">
        <f t="shared" si="62"/>
        <v>0</v>
      </c>
      <c r="BC52" s="5">
        <f t="shared" si="63"/>
        <v>1</v>
      </c>
      <c r="BD52" s="5">
        <f t="shared" si="64"/>
        <v>1</v>
      </c>
      <c r="BE52" s="3">
        <f t="shared" si="65"/>
        <v>1</v>
      </c>
      <c r="BF52" s="53">
        <f t="shared" si="66"/>
        <v>0</v>
      </c>
      <c r="BG52" s="5">
        <f t="shared" si="67"/>
        <v>1</v>
      </c>
      <c r="BH52" s="5">
        <f t="shared" si="68"/>
        <v>0</v>
      </c>
      <c r="BI52" s="5">
        <f t="shared" si="69"/>
        <v>0</v>
      </c>
      <c r="BJ52" s="5">
        <f t="shared" si="70"/>
        <v>0</v>
      </c>
      <c r="BK52" s="5">
        <f t="shared" si="71"/>
        <v>0</v>
      </c>
      <c r="BL52" s="5">
        <f t="shared" si="72"/>
        <v>1</v>
      </c>
      <c r="BM52" s="5">
        <f t="shared" si="73"/>
        <v>1</v>
      </c>
      <c r="BN52" s="3">
        <f t="shared" si="74"/>
        <v>1</v>
      </c>
      <c r="BO52" s="3">
        <f t="shared" si="75"/>
        <v>0</v>
      </c>
      <c r="BP52" s="7">
        <f t="shared" si="76"/>
        <v>2</v>
      </c>
      <c r="BQ52" t="str">
        <f t="shared" si="77"/>
        <v/>
      </c>
      <c r="BR52" s="91">
        <f>IF(Q52="-","-",VLOOKUP($G52,CTBat!$G$10:$AN$89,BR$9,FALSE)-Q52)</f>
        <v>0</v>
      </c>
      <c r="BS52" s="91">
        <f>IF(R52="-","-",VLOOKUP($G52,CTBat!$G$10:$AN$89,BS$9,FALSE)-R52)</f>
        <v>0</v>
      </c>
      <c r="BT52" s="91">
        <f>IF(S52="-","-",VLOOKUP($G52,CTBat!$G$10:$AN$89,BT$9,FALSE)-S52)</f>
        <v>0</v>
      </c>
      <c r="BU52" s="91">
        <f>IF(T52="-","-",VLOOKUP($G52,CTBat!$G$10:$AN$89,BU$9,FALSE)-T52)</f>
        <v>0</v>
      </c>
      <c r="BV52" s="91">
        <f>IF(U52="-","-",VLOOKUP($G52,CTBat!$G$10:$AN$89,BV$9,FALSE)-U52)</f>
        <v>0</v>
      </c>
      <c r="BW52" s="91">
        <f>IF(V52="-","-",VLOOKUP($G52,CTBat!$G$10:$AN$89,BW$9,FALSE)-V52)</f>
        <v>0</v>
      </c>
      <c r="BX52" s="91">
        <f>IF(W52="-","-",VLOOKUP($G52,CTBat!$G$10:$AN$89,BX$9,FALSE)-W52)</f>
        <v>0</v>
      </c>
      <c r="BY52" s="91">
        <f>IF(X52="-","-",VLOOKUP($G52,CTBat!$G$10:$AN$89,BY$9,FALSE)-X52)</f>
        <v>0</v>
      </c>
      <c r="BZ52" s="91">
        <f>IF(Y52="-","-",VLOOKUP($G52,CTBat!$G$10:$AN$89,BZ$9,FALSE)-Y52)</f>
        <v>0</v>
      </c>
      <c r="CA52" s="91">
        <f>IF(Z52="-","-",VLOOKUP($G52,CTBat!$G$10:$AN$89,CA$9,FALSE)-Z52)</f>
        <v>0</v>
      </c>
      <c r="CB52" s="91">
        <f>IF(AA52="-","-",VLOOKUP($G52,CTBat!$G$10:$AN$89,CB$9,FALSE)-AA52)</f>
        <v>0</v>
      </c>
      <c r="CC52" s="91">
        <f>IF(AB52="-","-",VLOOKUP($G52,CTBat!$G$10:$AN$89,CC$9,FALSE)-AB52)</f>
        <v>0</v>
      </c>
      <c r="CD52" s="91">
        <f>IF(AC52="-","-",VLOOKUP($G52,CTBat!$G$10:$AN$89,CD$9,FALSE)-AC52)</f>
        <v>0</v>
      </c>
      <c r="CE52" s="91">
        <f>IF(AD52="-","-",VLOOKUP($G52,CTBat!$G$10:$AN$89,CE$9,FALSE)-AD52)</f>
        <v>0</v>
      </c>
      <c r="CF52" s="91">
        <f>IF(AE52="-","-",VLOOKUP($G52,CTBat!$G$10:$AN$89,CF$9,FALSE)-AE52)</f>
        <v>0</v>
      </c>
      <c r="CG52" s="91" t="str">
        <f>IF(AF52="-","-",VLOOKUP($G52,CTBat!$G$10:$AN$89,CG$9,FALSE)-AF52)</f>
        <v>-</v>
      </c>
      <c r="CH52" s="91" t="str">
        <f>IF(AG52="-","-",VLOOKUP($G52,CTBat!$G$10:$AN$89,CH$9,FALSE)-AG52)</f>
        <v>-</v>
      </c>
      <c r="CI52" s="91" t="str">
        <f>IF(AH52="-","-",VLOOKUP($G52,CTBat!$G$10:$AN$89,CI$9,FALSE)-AH52)</f>
        <v>-</v>
      </c>
      <c r="CJ52" s="91">
        <f>IF(AI52="-","-",VLOOKUP($G52,CTBat!$G$10:$AN$89,CJ$9,FALSE)-AI52)</f>
        <v>0</v>
      </c>
      <c r="CK52" s="91" t="str">
        <f>IF(AJ52="-","-",VLOOKUP($G52,CTBat!$G$10:$AN$89,CK$9,FALSE)-AJ52)</f>
        <v>-</v>
      </c>
      <c r="CL52" s="91">
        <f>IF(AK52="-","-",VLOOKUP($G52,CTBat!$G$10:$AN$89,CL$9,FALSE)-AK52)</f>
        <v>0</v>
      </c>
      <c r="CM52" s="91">
        <f>IF(AL52="-","-",VLOOKUP($G52,CTBat!$G$10:$AN$89,CM$9,FALSE)-AL52)</f>
        <v>0</v>
      </c>
      <c r="CN52" s="91">
        <f>IF(AM52="-","-",VLOOKUP($G52,CTBat!$G$10:$AN$89,CN$9,FALSE)-AM52)</f>
        <v>0</v>
      </c>
      <c r="CO52" s="91">
        <f>IF(AN52="-","-",VLOOKUP($G52,CTBat!$G$10:$AN$89,CO$9,FALSE)-AN52)</f>
        <v>0</v>
      </c>
      <c r="CP52" s="91">
        <f t="shared" si="78"/>
        <v>0</v>
      </c>
      <c r="CQ52" s="91">
        <f t="shared" si="79"/>
        <v>0</v>
      </c>
      <c r="CR52" s="91">
        <f t="shared" si="80"/>
        <v>0</v>
      </c>
      <c r="CS52" s="91">
        <f t="shared" si="81"/>
        <v>0</v>
      </c>
      <c r="CT52" s="91">
        <f t="shared" si="82"/>
        <v>0</v>
      </c>
    </row>
    <row r="53" spans="1:98">
      <c r="C53">
        <f t="shared" si="48"/>
        <v>2</v>
      </c>
      <c r="D53">
        <f t="shared" si="49"/>
        <v>2</v>
      </c>
      <c r="E53" t="str">
        <f t="shared" si="50"/>
        <v>K</v>
      </c>
      <c r="F53" t="s">
        <v>100</v>
      </c>
      <c r="G53" t="s">
        <v>569</v>
      </c>
      <c r="H53" t="s">
        <v>384</v>
      </c>
      <c r="I53" t="s">
        <v>213</v>
      </c>
      <c r="J53">
        <v>30</v>
      </c>
      <c r="K53" t="s">
        <v>107</v>
      </c>
      <c r="L53" t="s">
        <v>107</v>
      </c>
      <c r="M53" t="s">
        <v>47</v>
      </c>
      <c r="N53" s="3" t="s">
        <v>47</v>
      </c>
      <c r="O53" t="s">
        <v>232</v>
      </c>
      <c r="P53" s="3" t="s">
        <v>231</v>
      </c>
      <c r="Q53">
        <v>7</v>
      </c>
      <c r="R53">
        <v>6</v>
      </c>
      <c r="S53">
        <v>3</v>
      </c>
      <c r="T53">
        <v>6</v>
      </c>
      <c r="U53" s="3">
        <v>6</v>
      </c>
      <c r="V53">
        <v>7</v>
      </c>
      <c r="W53">
        <v>6</v>
      </c>
      <c r="X53">
        <v>3</v>
      </c>
      <c r="Y53">
        <v>6</v>
      </c>
      <c r="Z53" s="3">
        <v>6</v>
      </c>
      <c r="AA53">
        <v>8</v>
      </c>
      <c r="AB53">
        <v>5</v>
      </c>
      <c r="AC53">
        <v>1</v>
      </c>
      <c r="AD53" t="s">
        <v>41</v>
      </c>
      <c r="AE53">
        <v>2</v>
      </c>
      <c r="AF53">
        <v>6</v>
      </c>
      <c r="AG53">
        <v>8</v>
      </c>
      <c r="AH53">
        <v>7</v>
      </c>
      <c r="AI53">
        <v>1</v>
      </c>
      <c r="AJ53" t="s">
        <v>41</v>
      </c>
      <c r="AK53" s="3" t="s">
        <v>41</v>
      </c>
      <c r="AL53">
        <v>5</v>
      </c>
      <c r="AM53">
        <v>4</v>
      </c>
      <c r="AN53" s="3">
        <v>2</v>
      </c>
      <c r="AO53" t="s">
        <v>41</v>
      </c>
      <c r="AP53" s="3">
        <v>0</v>
      </c>
      <c r="AQ53" s="6">
        <f t="shared" si="51"/>
        <v>5.833333333333333</v>
      </c>
      <c r="AR53" s="9" t="str">
        <f t="shared" si="52"/>
        <v>Reg</v>
      </c>
      <c r="AS53" s="6">
        <f t="shared" si="53"/>
        <v>5.833333333333333</v>
      </c>
      <c r="AT53" s="6" t="str">
        <f t="shared" si="54"/>
        <v>Reg</v>
      </c>
      <c r="AU53" s="9">
        <f t="shared" si="55"/>
        <v>5.833333333333333</v>
      </c>
      <c r="AV53" s="9" t="str">
        <f t="shared" si="56"/>
        <v>Reg</v>
      </c>
      <c r="AW53" s="53">
        <f t="shared" si="57"/>
        <v>0</v>
      </c>
      <c r="AX53" s="5">
        <f t="shared" si="58"/>
        <v>1</v>
      </c>
      <c r="AY53" s="5">
        <f t="shared" si="59"/>
        <v>0</v>
      </c>
      <c r="AZ53" s="5">
        <f t="shared" si="60"/>
        <v>0</v>
      </c>
      <c r="BA53" s="5">
        <f t="shared" si="61"/>
        <v>0</v>
      </c>
      <c r="BB53" s="5">
        <f t="shared" si="62"/>
        <v>1</v>
      </c>
      <c r="BC53" s="5">
        <f t="shared" si="63"/>
        <v>1</v>
      </c>
      <c r="BD53" s="5">
        <f t="shared" si="64"/>
        <v>1</v>
      </c>
      <c r="BE53" s="3">
        <f t="shared" si="65"/>
        <v>1</v>
      </c>
      <c r="BF53" s="53">
        <f t="shared" si="66"/>
        <v>0</v>
      </c>
      <c r="BG53" s="5">
        <f t="shared" si="67"/>
        <v>1</v>
      </c>
      <c r="BH53" s="5">
        <f t="shared" si="68"/>
        <v>0</v>
      </c>
      <c r="BI53" s="5">
        <f t="shared" si="69"/>
        <v>0</v>
      </c>
      <c r="BJ53" s="5">
        <f t="shared" si="70"/>
        <v>0</v>
      </c>
      <c r="BK53" s="5">
        <f t="shared" si="71"/>
        <v>1</v>
      </c>
      <c r="BL53" s="5">
        <f t="shared" si="72"/>
        <v>1</v>
      </c>
      <c r="BM53" s="5">
        <f t="shared" si="73"/>
        <v>1</v>
      </c>
      <c r="BN53" s="3">
        <f t="shared" si="74"/>
        <v>1</v>
      </c>
      <c r="BO53" s="3">
        <f t="shared" si="75"/>
        <v>0</v>
      </c>
      <c r="BP53" s="7">
        <f t="shared" si="76"/>
        <v>2</v>
      </c>
      <c r="BQ53" t="str">
        <f t="shared" si="77"/>
        <v/>
      </c>
      <c r="BR53" s="91">
        <f>IF(Q53="-","-",VLOOKUP($G53,CTBat!$G$10:$AN$89,BR$9,FALSE)-Q53)</f>
        <v>0</v>
      </c>
      <c r="BS53" s="91">
        <f>IF(R53="-","-",VLOOKUP($G53,CTBat!$G$10:$AN$89,BS$9,FALSE)-R53)</f>
        <v>0</v>
      </c>
      <c r="BT53" s="91">
        <f>IF(S53="-","-",VLOOKUP($G53,CTBat!$G$10:$AN$89,BT$9,FALSE)-S53)</f>
        <v>0</v>
      </c>
      <c r="BU53" s="91">
        <f>IF(T53="-","-",VLOOKUP($G53,CTBat!$G$10:$AN$89,BU$9,FALSE)-T53)</f>
        <v>0</v>
      </c>
      <c r="BV53" s="91">
        <f>IF(U53="-","-",VLOOKUP($G53,CTBat!$G$10:$AN$89,BV$9,FALSE)-U53)</f>
        <v>0</v>
      </c>
      <c r="BW53" s="91">
        <f>IF(V53="-","-",VLOOKUP($G53,CTBat!$G$10:$AN$89,BW$9,FALSE)-V53)</f>
        <v>0</v>
      </c>
      <c r="BX53" s="91">
        <f>IF(W53="-","-",VLOOKUP($G53,CTBat!$G$10:$AN$89,BX$9,FALSE)-W53)</f>
        <v>0</v>
      </c>
      <c r="BY53" s="91">
        <f>IF(X53="-","-",VLOOKUP($G53,CTBat!$G$10:$AN$89,BY$9,FALSE)-X53)</f>
        <v>0</v>
      </c>
      <c r="BZ53" s="91">
        <f>IF(Y53="-","-",VLOOKUP($G53,CTBat!$G$10:$AN$89,BZ$9,FALSE)-Y53)</f>
        <v>0</v>
      </c>
      <c r="CA53" s="91">
        <f>IF(Z53="-","-",VLOOKUP($G53,CTBat!$G$10:$AN$89,CA$9,FALSE)-Z53)</f>
        <v>0</v>
      </c>
      <c r="CB53" s="91">
        <f>IF(AA53="-","-",VLOOKUP($G53,CTBat!$G$10:$AN$89,CB$9,FALSE)-AA53)</f>
        <v>0</v>
      </c>
      <c r="CC53" s="91">
        <f>IF(AB53="-","-",VLOOKUP($G53,CTBat!$G$10:$AN$89,CC$9,FALSE)-AB53)</f>
        <v>0</v>
      </c>
      <c r="CD53" s="91">
        <f>IF(AC53="-","-",VLOOKUP($G53,CTBat!$G$10:$AN$89,CD$9,FALSE)-AC53)</f>
        <v>0</v>
      </c>
      <c r="CE53" s="91" t="str">
        <f>IF(AD53="-","-",VLOOKUP($G53,CTBat!$G$10:$AN$89,CE$9,FALSE)-AD53)</f>
        <v>-</v>
      </c>
      <c r="CF53" s="91">
        <f>IF(AE53="-","-",VLOOKUP($G53,CTBat!$G$10:$AN$89,CF$9,FALSE)-AE53)</f>
        <v>0</v>
      </c>
      <c r="CG53" s="91">
        <f>IF(AF53="-","-",VLOOKUP($G53,CTBat!$G$10:$AN$89,CG$9,FALSE)-AF53)</f>
        <v>0</v>
      </c>
      <c r="CH53" s="91">
        <f>IF(AG53="-","-",VLOOKUP($G53,CTBat!$G$10:$AN$89,CH$9,FALSE)-AG53)</f>
        <v>0</v>
      </c>
      <c r="CI53" s="91">
        <f>IF(AH53="-","-",VLOOKUP($G53,CTBat!$G$10:$AN$89,CI$9,FALSE)-AH53)</f>
        <v>0</v>
      </c>
      <c r="CJ53" s="91">
        <f>IF(AI53="-","-",VLOOKUP($G53,CTBat!$G$10:$AN$89,CJ$9,FALSE)-AI53)</f>
        <v>0</v>
      </c>
      <c r="CK53" s="91" t="str">
        <f>IF(AJ53="-","-",VLOOKUP($G53,CTBat!$G$10:$AN$89,CK$9,FALSE)-AJ53)</f>
        <v>-</v>
      </c>
      <c r="CL53" s="91" t="str">
        <f>IF(AK53="-","-",VLOOKUP($G53,CTBat!$G$10:$AN$89,CL$9,FALSE)-AK53)</f>
        <v>-</v>
      </c>
      <c r="CM53" s="91">
        <f>IF(AL53="-","-",VLOOKUP($G53,CTBat!$G$10:$AN$89,CM$9,FALSE)-AL53)</f>
        <v>0</v>
      </c>
      <c r="CN53" s="91">
        <f>IF(AM53="-","-",VLOOKUP($G53,CTBat!$G$10:$AN$89,CN$9,FALSE)-AM53)</f>
        <v>0</v>
      </c>
      <c r="CO53" s="91">
        <f>IF(AN53="-","-",VLOOKUP($G53,CTBat!$G$10:$AN$89,CO$9,FALSE)-AN53)</f>
        <v>0</v>
      </c>
      <c r="CP53" s="91">
        <f t="shared" si="78"/>
        <v>0</v>
      </c>
      <c r="CQ53" s="91">
        <f t="shared" si="79"/>
        <v>0</v>
      </c>
      <c r="CR53" s="91">
        <f t="shared" si="80"/>
        <v>0</v>
      </c>
      <c r="CS53" s="91">
        <f t="shared" si="81"/>
        <v>0</v>
      </c>
      <c r="CT53" s="91">
        <f t="shared" si="82"/>
        <v>0</v>
      </c>
    </row>
    <row r="54" spans="1:98">
      <c r="C54">
        <f t="shared" si="48"/>
        <v>6</v>
      </c>
      <c r="D54" t="str">
        <f t="shared" si="49"/>
        <v>-</v>
      </c>
      <c r="E54" t="str">
        <f t="shared" si="50"/>
        <v>K</v>
      </c>
      <c r="F54" t="s">
        <v>97</v>
      </c>
      <c r="G54" t="s">
        <v>399</v>
      </c>
      <c r="H54" t="s">
        <v>383</v>
      </c>
      <c r="I54" t="s">
        <v>327</v>
      </c>
      <c r="J54">
        <v>21</v>
      </c>
      <c r="K54" t="s">
        <v>106</v>
      </c>
      <c r="L54" t="s">
        <v>107</v>
      </c>
      <c r="M54" t="s">
        <v>47</v>
      </c>
      <c r="N54" s="242" t="s">
        <v>47</v>
      </c>
      <c r="O54" t="s">
        <v>229</v>
      </c>
      <c r="P54" s="242" t="s">
        <v>228</v>
      </c>
      <c r="Q54">
        <v>6</v>
      </c>
      <c r="R54">
        <v>4</v>
      </c>
      <c r="S54">
        <v>3</v>
      </c>
      <c r="T54">
        <v>4</v>
      </c>
      <c r="U54" s="242">
        <v>3</v>
      </c>
      <c r="V54">
        <v>7</v>
      </c>
      <c r="W54">
        <v>5</v>
      </c>
      <c r="X54">
        <v>5</v>
      </c>
      <c r="Y54">
        <v>5</v>
      </c>
      <c r="Z54" s="242">
        <v>4</v>
      </c>
      <c r="AA54">
        <v>2</v>
      </c>
      <c r="AB54">
        <v>1</v>
      </c>
      <c r="AC54">
        <v>1</v>
      </c>
      <c r="AD54" t="s">
        <v>41</v>
      </c>
      <c r="AE54">
        <v>3</v>
      </c>
      <c r="AF54" t="s">
        <v>41</v>
      </c>
      <c r="AG54" t="s">
        <v>41</v>
      </c>
      <c r="AH54" t="s">
        <v>41</v>
      </c>
      <c r="AI54" t="s">
        <v>41</v>
      </c>
      <c r="AJ54" t="s">
        <v>41</v>
      </c>
      <c r="AK54" s="242" t="s">
        <v>41</v>
      </c>
      <c r="AL54">
        <v>1</v>
      </c>
      <c r="AM54">
        <v>2</v>
      </c>
      <c r="AN54" s="242">
        <v>2</v>
      </c>
      <c r="AO54" s="85" t="s">
        <v>41</v>
      </c>
      <c r="AP54" s="242">
        <v>0</v>
      </c>
      <c r="AQ54" s="6">
        <f t="shared" si="51"/>
        <v>4.333333333333333</v>
      </c>
      <c r="AR54" s="9" t="str">
        <f t="shared" si="52"/>
        <v>Bench</v>
      </c>
      <c r="AS54" s="6">
        <f t="shared" si="53"/>
        <v>5.666666666666667</v>
      </c>
      <c r="AT54" s="6" t="str">
        <f t="shared" si="54"/>
        <v>Reg</v>
      </c>
      <c r="AU54" s="9">
        <f t="shared" si="55"/>
        <v>5.666666666666667</v>
      </c>
      <c r="AV54" s="9" t="str">
        <f t="shared" si="56"/>
        <v>Reg</v>
      </c>
      <c r="AW54" s="53">
        <f t="shared" si="57"/>
        <v>0</v>
      </c>
      <c r="AX54" s="241">
        <f t="shared" si="58"/>
        <v>0</v>
      </c>
      <c r="AY54" s="241">
        <f t="shared" si="59"/>
        <v>0</v>
      </c>
      <c r="AZ54" s="241">
        <f t="shared" si="60"/>
        <v>0</v>
      </c>
      <c r="BA54" s="241">
        <f t="shared" si="61"/>
        <v>0</v>
      </c>
      <c r="BB54" s="241">
        <f t="shared" si="62"/>
        <v>0</v>
      </c>
      <c r="BC54" s="241">
        <f t="shared" si="63"/>
        <v>0</v>
      </c>
      <c r="BD54" s="241">
        <f t="shared" si="64"/>
        <v>0</v>
      </c>
      <c r="BE54" s="242">
        <f t="shared" si="65"/>
        <v>0</v>
      </c>
      <c r="BF54" s="53">
        <f t="shared" si="66"/>
        <v>0</v>
      </c>
      <c r="BG54" s="241">
        <f t="shared" si="67"/>
        <v>0</v>
      </c>
      <c r="BH54" s="241">
        <f t="shared" si="68"/>
        <v>0</v>
      </c>
      <c r="BI54" s="241">
        <f t="shared" si="69"/>
        <v>0</v>
      </c>
      <c r="BJ54" s="241">
        <f t="shared" si="70"/>
        <v>0</v>
      </c>
      <c r="BK54" s="241">
        <f t="shared" si="71"/>
        <v>1</v>
      </c>
      <c r="BL54" s="241">
        <f t="shared" si="72"/>
        <v>1</v>
      </c>
      <c r="BM54" s="241">
        <f t="shared" si="73"/>
        <v>1</v>
      </c>
      <c r="BN54" s="242">
        <f t="shared" si="74"/>
        <v>1</v>
      </c>
      <c r="BO54" s="242">
        <f t="shared" si="75"/>
        <v>0</v>
      </c>
      <c r="BP54" s="7">
        <f t="shared" si="76"/>
        <v>0</v>
      </c>
      <c r="BQ54" t="str">
        <f t="shared" si="77"/>
        <v/>
      </c>
      <c r="BR54" s="91">
        <f>IF(Q54="-","-",VLOOKUP($G54,CTBat!$G$10:$AN$89,BR$9,FALSE)-Q54)</f>
        <v>0</v>
      </c>
      <c r="BS54" s="91">
        <f>IF(R54="-","-",VLOOKUP($G54,CTBat!$G$10:$AN$89,BS$9,FALSE)-R54)</f>
        <v>0</v>
      </c>
      <c r="BT54" s="91">
        <f>IF(S54="-","-",VLOOKUP($G54,CTBat!$G$10:$AN$89,BT$9,FALSE)-S54)</f>
        <v>0</v>
      </c>
      <c r="BU54" s="91">
        <f>IF(T54="-","-",VLOOKUP($G54,CTBat!$G$10:$AN$89,BU$9,FALSE)-T54)</f>
        <v>0</v>
      </c>
      <c r="BV54" s="91">
        <f>IF(U54="-","-",VLOOKUP($G54,CTBat!$G$10:$AN$89,BV$9,FALSE)-U54)</f>
        <v>0</v>
      </c>
      <c r="BW54" s="91">
        <f>IF(V54="-","-",VLOOKUP($G54,CTBat!$G$10:$AN$89,BW$9,FALSE)-V54)</f>
        <v>0</v>
      </c>
      <c r="BX54" s="91">
        <f>IF(W54="-","-",VLOOKUP($G54,CTBat!$G$10:$AN$89,BX$9,FALSE)-W54)</f>
        <v>0</v>
      </c>
      <c r="BY54" s="91">
        <f>IF(X54="-","-",VLOOKUP($G54,CTBat!$G$10:$AN$89,BY$9,FALSE)-X54)</f>
        <v>0</v>
      </c>
      <c r="BZ54" s="91">
        <f>IF(Y54="-","-",VLOOKUP($G54,CTBat!$G$10:$AN$89,BZ$9,FALSE)-Y54)</f>
        <v>0</v>
      </c>
      <c r="CA54" s="91">
        <f>IF(Z54="-","-",VLOOKUP($G54,CTBat!$G$10:$AN$89,CA$9,FALSE)-Z54)</f>
        <v>0</v>
      </c>
      <c r="CB54" s="91">
        <f>IF(AA54="-","-",VLOOKUP($G54,CTBat!$G$10:$AN$89,CB$9,FALSE)-AA54)</f>
        <v>0</v>
      </c>
      <c r="CC54" s="91">
        <f>IF(AB54="-","-",VLOOKUP($G54,CTBat!$G$10:$AN$89,CC$9,FALSE)-AB54)</f>
        <v>0</v>
      </c>
      <c r="CD54" s="91">
        <f>IF(AC54="-","-",VLOOKUP($G54,CTBat!$G$10:$AN$89,CD$9,FALSE)-AC54)</f>
        <v>0</v>
      </c>
      <c r="CE54" s="91" t="str">
        <f>IF(AD54="-","-",VLOOKUP($G54,CTBat!$G$10:$AN$89,CE$9,FALSE)-AD54)</f>
        <v>-</v>
      </c>
      <c r="CF54" s="91">
        <f>IF(AE54="-","-",VLOOKUP($G54,CTBat!$G$10:$AN$89,CF$9,FALSE)-AE54)</f>
        <v>0</v>
      </c>
      <c r="CG54" s="91" t="str">
        <f>IF(AF54="-","-",VLOOKUP($G54,CTBat!$G$10:$AN$89,CG$9,FALSE)-AF54)</f>
        <v>-</v>
      </c>
      <c r="CH54" s="91" t="str">
        <f>IF(AG54="-","-",VLOOKUP($G54,CTBat!$G$10:$AN$89,CH$9,FALSE)-AG54)</f>
        <v>-</v>
      </c>
      <c r="CI54" s="91" t="str">
        <f>IF(AH54="-","-",VLOOKUP($G54,CTBat!$G$10:$AN$89,CI$9,FALSE)-AH54)</f>
        <v>-</v>
      </c>
      <c r="CJ54" s="91" t="str">
        <f>IF(AI54="-","-",VLOOKUP($G54,CTBat!$G$10:$AN$89,CJ$9,FALSE)-AI54)</f>
        <v>-</v>
      </c>
      <c r="CK54" s="91" t="str">
        <f>IF(AJ54="-","-",VLOOKUP($G54,CTBat!$G$10:$AN$89,CK$9,FALSE)-AJ54)</f>
        <v>-</v>
      </c>
      <c r="CL54" s="91" t="str">
        <f>IF(AK54="-","-",VLOOKUP($G54,CTBat!$G$10:$AN$89,CL$9,FALSE)-AK54)</f>
        <v>-</v>
      </c>
      <c r="CM54" s="91">
        <f>IF(AL54="-","-",VLOOKUP($G54,CTBat!$G$10:$AN$89,CM$9,FALSE)-AL54)</f>
        <v>0</v>
      </c>
      <c r="CN54" s="91">
        <f>IF(AM54="-","-",VLOOKUP($G54,CTBat!$G$10:$AN$89,CN$9,FALSE)-AM54)</f>
        <v>0</v>
      </c>
      <c r="CO54" s="91">
        <f>IF(AN54="-","-",VLOOKUP($G54,CTBat!$G$10:$AN$89,CO$9,FALSE)-AN54)</f>
        <v>0</v>
      </c>
      <c r="CP54" s="91">
        <f t="shared" si="78"/>
        <v>0</v>
      </c>
      <c r="CQ54" s="91">
        <f t="shared" si="79"/>
        <v>0</v>
      </c>
      <c r="CR54" s="91">
        <f t="shared" si="80"/>
        <v>0</v>
      </c>
      <c r="CS54" s="91">
        <f t="shared" si="81"/>
        <v>0</v>
      </c>
      <c r="CT54" s="91">
        <f t="shared" si="82"/>
        <v>0</v>
      </c>
    </row>
    <row r="55" spans="1:98">
      <c r="C55">
        <f t="shared" si="48"/>
        <v>7</v>
      </c>
      <c r="D55">
        <f t="shared" si="49"/>
        <v>7</v>
      </c>
      <c r="E55" t="str">
        <f t="shared" si="50"/>
        <v>K</v>
      </c>
      <c r="F55" t="s">
        <v>99</v>
      </c>
      <c r="G55" t="s">
        <v>568</v>
      </c>
      <c r="H55" t="s">
        <v>386</v>
      </c>
      <c r="I55" t="s">
        <v>215</v>
      </c>
      <c r="J55">
        <v>26</v>
      </c>
      <c r="K55" t="s">
        <v>106</v>
      </c>
      <c r="L55" t="s">
        <v>106</v>
      </c>
      <c r="M55" t="s">
        <v>47</v>
      </c>
      <c r="N55" s="269" t="s">
        <v>47</v>
      </c>
      <c r="O55" t="s">
        <v>229</v>
      </c>
      <c r="P55" s="269" t="s">
        <v>228</v>
      </c>
      <c r="Q55">
        <v>5</v>
      </c>
      <c r="R55">
        <v>6</v>
      </c>
      <c r="S55">
        <v>7</v>
      </c>
      <c r="T55">
        <v>6</v>
      </c>
      <c r="U55" s="269">
        <v>3</v>
      </c>
      <c r="V55">
        <v>5</v>
      </c>
      <c r="W55">
        <v>6</v>
      </c>
      <c r="X55">
        <v>7</v>
      </c>
      <c r="Y55">
        <v>6</v>
      </c>
      <c r="Z55" s="269">
        <v>3</v>
      </c>
      <c r="AA55">
        <v>9</v>
      </c>
      <c r="AB55">
        <v>2</v>
      </c>
      <c r="AC55">
        <v>1</v>
      </c>
      <c r="AD55" t="s">
        <v>41</v>
      </c>
      <c r="AE55">
        <v>10</v>
      </c>
      <c r="AF55">
        <v>4</v>
      </c>
      <c r="AG55">
        <v>9</v>
      </c>
      <c r="AH55">
        <v>7</v>
      </c>
      <c r="AI55" t="s">
        <v>41</v>
      </c>
      <c r="AJ55" t="s">
        <v>41</v>
      </c>
      <c r="AK55" s="269" t="s">
        <v>41</v>
      </c>
      <c r="AL55">
        <v>3</v>
      </c>
      <c r="AM55">
        <v>2</v>
      </c>
      <c r="AN55" s="269">
        <v>3</v>
      </c>
      <c r="AO55" s="85" t="s">
        <v>41</v>
      </c>
      <c r="AP55" s="269">
        <v>0</v>
      </c>
      <c r="AQ55" s="6">
        <f t="shared" si="51"/>
        <v>5.5</v>
      </c>
      <c r="AR55" s="9" t="str">
        <f t="shared" si="52"/>
        <v>Reg</v>
      </c>
      <c r="AS55" s="6">
        <f t="shared" si="53"/>
        <v>5.5</v>
      </c>
      <c r="AT55" s="6" t="str">
        <f t="shared" si="54"/>
        <v>Reg</v>
      </c>
      <c r="AU55" s="9">
        <f t="shared" si="55"/>
        <v>5.5</v>
      </c>
      <c r="AV55" s="9" t="str">
        <f t="shared" si="56"/>
        <v>Reg</v>
      </c>
      <c r="AW55" s="53">
        <f t="shared" si="57"/>
        <v>0</v>
      </c>
      <c r="AX55" s="268">
        <f t="shared" si="58"/>
        <v>0</v>
      </c>
      <c r="AY55" s="268">
        <f t="shared" si="59"/>
        <v>0</v>
      </c>
      <c r="AZ55" s="268">
        <f t="shared" si="60"/>
        <v>0</v>
      </c>
      <c r="BA55" s="268">
        <f t="shared" si="61"/>
        <v>0</v>
      </c>
      <c r="BB55" s="268">
        <f t="shared" si="62"/>
        <v>0</v>
      </c>
      <c r="BC55" s="268">
        <f t="shared" si="63"/>
        <v>1</v>
      </c>
      <c r="BD55" s="268">
        <f t="shared" si="64"/>
        <v>1</v>
      </c>
      <c r="BE55" s="269">
        <f t="shared" si="65"/>
        <v>1</v>
      </c>
      <c r="BF55" s="53">
        <f t="shared" si="66"/>
        <v>0</v>
      </c>
      <c r="BG55" s="268">
        <f t="shared" si="67"/>
        <v>0</v>
      </c>
      <c r="BH55" s="268">
        <f t="shared" si="68"/>
        <v>0</v>
      </c>
      <c r="BI55" s="268">
        <f t="shared" si="69"/>
        <v>0</v>
      </c>
      <c r="BJ55" s="268">
        <f t="shared" si="70"/>
        <v>0</v>
      </c>
      <c r="BK55" s="268">
        <f t="shared" si="71"/>
        <v>0</v>
      </c>
      <c r="BL55" s="268">
        <f t="shared" si="72"/>
        <v>1</v>
      </c>
      <c r="BM55" s="268">
        <f t="shared" si="73"/>
        <v>1</v>
      </c>
      <c r="BN55" s="269">
        <f t="shared" si="74"/>
        <v>1</v>
      </c>
      <c r="BO55" s="269">
        <f t="shared" si="75"/>
        <v>0</v>
      </c>
      <c r="BP55" s="7">
        <f t="shared" si="76"/>
        <v>2</v>
      </c>
      <c r="BQ55" t="str">
        <f t="shared" si="77"/>
        <v/>
      </c>
      <c r="BR55" s="91">
        <f>IF(Q55="-","-",VLOOKUP($G55,CTBat!$G$10:$AN$89,BR$9,FALSE)-Q55)</f>
        <v>0</v>
      </c>
      <c r="BS55" s="91">
        <f>IF(R55="-","-",VLOOKUP($G55,CTBat!$G$10:$AN$89,BS$9,FALSE)-R55)</f>
        <v>0</v>
      </c>
      <c r="BT55" s="91">
        <f>IF(S55="-","-",VLOOKUP($G55,CTBat!$G$10:$AN$89,BT$9,FALSE)-S55)</f>
        <v>0</v>
      </c>
      <c r="BU55" s="91">
        <f>IF(T55="-","-",VLOOKUP($G55,CTBat!$G$10:$AN$89,BU$9,FALSE)-T55)</f>
        <v>0</v>
      </c>
      <c r="BV55" s="91">
        <f>IF(U55="-","-",VLOOKUP($G55,CTBat!$G$10:$AN$89,BV$9,FALSE)-U55)</f>
        <v>0</v>
      </c>
      <c r="BW55" s="91">
        <f>IF(V55="-","-",VLOOKUP($G55,CTBat!$G$10:$AN$89,BW$9,FALSE)-V55)</f>
        <v>0</v>
      </c>
      <c r="BX55" s="91">
        <f>IF(W55="-","-",VLOOKUP($G55,CTBat!$G$10:$AN$89,BX$9,FALSE)-W55)</f>
        <v>0</v>
      </c>
      <c r="BY55" s="91">
        <f>IF(X55="-","-",VLOOKUP($G55,CTBat!$G$10:$AN$89,BY$9,FALSE)-X55)</f>
        <v>0</v>
      </c>
      <c r="BZ55" s="91">
        <f>IF(Y55="-","-",VLOOKUP($G55,CTBat!$G$10:$AN$89,BZ$9,FALSE)-Y55)</f>
        <v>0</v>
      </c>
      <c r="CA55" s="91">
        <f>IF(Z55="-","-",VLOOKUP($G55,CTBat!$G$10:$AN$89,CA$9,FALSE)-Z55)</f>
        <v>0</v>
      </c>
      <c r="CB55" s="91">
        <f>IF(AA55="-","-",VLOOKUP($G55,CTBat!$G$10:$AN$89,CB$9,FALSE)-AA55)</f>
        <v>0</v>
      </c>
      <c r="CC55" s="91">
        <f>IF(AB55="-","-",VLOOKUP($G55,CTBat!$G$10:$AN$89,CC$9,FALSE)-AB55)</f>
        <v>0</v>
      </c>
      <c r="CD55" s="91">
        <f>IF(AC55="-","-",VLOOKUP($G55,CTBat!$G$10:$AN$89,CD$9,FALSE)-AC55)</f>
        <v>0</v>
      </c>
      <c r="CE55" s="91" t="str">
        <f>IF(AD55="-","-",VLOOKUP($G55,CTBat!$G$10:$AN$89,CE$9,FALSE)-AD55)</f>
        <v>-</v>
      </c>
      <c r="CF55" s="91">
        <f>IF(AE55="-","-",VLOOKUP($G55,CTBat!$G$10:$AN$89,CF$9,FALSE)-AE55)</f>
        <v>0</v>
      </c>
      <c r="CG55" s="91">
        <f>IF(AF55="-","-",VLOOKUP($G55,CTBat!$G$10:$AN$89,CG$9,FALSE)-AF55)</f>
        <v>0</v>
      </c>
      <c r="CH55" s="91">
        <f>IF(AG55="-","-",VLOOKUP($G55,CTBat!$G$10:$AN$89,CH$9,FALSE)-AG55)</f>
        <v>0</v>
      </c>
      <c r="CI55" s="91">
        <f>IF(AH55="-","-",VLOOKUP($G55,CTBat!$G$10:$AN$89,CI$9,FALSE)-AH55)</f>
        <v>0</v>
      </c>
      <c r="CJ55" s="91" t="str">
        <f>IF(AI55="-","-",VLOOKUP($G55,CTBat!$G$10:$AN$89,CJ$9,FALSE)-AI55)</f>
        <v>-</v>
      </c>
      <c r="CK55" s="91" t="str">
        <f>IF(AJ55="-","-",VLOOKUP($G55,CTBat!$G$10:$AN$89,CK$9,FALSE)-AJ55)</f>
        <v>-</v>
      </c>
      <c r="CL55" s="91" t="str">
        <f>IF(AK55="-","-",VLOOKUP($G55,CTBat!$G$10:$AN$89,CL$9,FALSE)-AK55)</f>
        <v>-</v>
      </c>
      <c r="CM55" s="91">
        <f>IF(AL55="-","-",VLOOKUP($G55,CTBat!$G$10:$AN$89,CM$9,FALSE)-AL55)</f>
        <v>0</v>
      </c>
      <c r="CN55" s="91">
        <f>IF(AM55="-","-",VLOOKUP($G55,CTBat!$G$10:$AN$89,CN$9,FALSE)-AM55)</f>
        <v>0</v>
      </c>
      <c r="CO55" s="91">
        <f>IF(AN55="-","-",VLOOKUP($G55,CTBat!$G$10:$AN$89,CO$9,FALSE)-AN55)</f>
        <v>0</v>
      </c>
      <c r="CP55" s="91">
        <f t="shared" si="78"/>
        <v>0</v>
      </c>
      <c r="CQ55" s="91">
        <f t="shared" si="79"/>
        <v>0</v>
      </c>
      <c r="CR55" s="91">
        <f t="shared" si="80"/>
        <v>0</v>
      </c>
      <c r="CS55" s="91">
        <f t="shared" si="81"/>
        <v>0</v>
      </c>
      <c r="CT55" s="91">
        <f t="shared" si="82"/>
        <v>0</v>
      </c>
    </row>
    <row r="56" spans="1:98">
      <c r="C56">
        <f t="shared" si="48"/>
        <v>8</v>
      </c>
      <c r="D56">
        <f t="shared" si="49"/>
        <v>8</v>
      </c>
      <c r="E56" t="str">
        <f t="shared" si="50"/>
        <v>K</v>
      </c>
      <c r="F56" t="s">
        <v>102</v>
      </c>
      <c r="G56" t="s">
        <v>404</v>
      </c>
      <c r="H56" t="s">
        <v>385</v>
      </c>
      <c r="I56" t="s">
        <v>214</v>
      </c>
      <c r="J56">
        <v>24</v>
      </c>
      <c r="K56" t="s">
        <v>106</v>
      </c>
      <c r="L56" t="s">
        <v>107</v>
      </c>
      <c r="M56" t="s">
        <v>47</v>
      </c>
      <c r="N56" s="3" t="s">
        <v>47</v>
      </c>
      <c r="O56" t="s">
        <v>229</v>
      </c>
      <c r="P56" s="3" t="s">
        <v>229</v>
      </c>
      <c r="Q56">
        <v>6</v>
      </c>
      <c r="R56">
        <v>7</v>
      </c>
      <c r="S56">
        <v>5</v>
      </c>
      <c r="T56">
        <v>5</v>
      </c>
      <c r="U56" s="3">
        <v>4</v>
      </c>
      <c r="V56">
        <v>6</v>
      </c>
      <c r="W56">
        <v>7</v>
      </c>
      <c r="X56">
        <v>5</v>
      </c>
      <c r="Y56">
        <v>5</v>
      </c>
      <c r="Z56" s="3">
        <v>5</v>
      </c>
      <c r="AA56">
        <v>1</v>
      </c>
      <c r="AB56">
        <v>8</v>
      </c>
      <c r="AC56">
        <v>1</v>
      </c>
      <c r="AD56" t="s">
        <v>41</v>
      </c>
      <c r="AE56" t="s">
        <v>41</v>
      </c>
      <c r="AF56" t="s">
        <v>41</v>
      </c>
      <c r="AG56" t="s">
        <v>41</v>
      </c>
      <c r="AH56" t="s">
        <v>41</v>
      </c>
      <c r="AI56">
        <v>5</v>
      </c>
      <c r="AJ56">
        <v>8</v>
      </c>
      <c r="AK56" s="3">
        <v>7</v>
      </c>
      <c r="AL56">
        <v>6</v>
      </c>
      <c r="AM56">
        <v>9</v>
      </c>
      <c r="AN56" s="3">
        <v>7</v>
      </c>
      <c r="AO56" s="85" t="s">
        <v>41</v>
      </c>
      <c r="AP56" s="3">
        <v>0</v>
      </c>
      <c r="AQ56" s="6">
        <f t="shared" si="51"/>
        <v>5.333333333333333</v>
      </c>
      <c r="AR56" s="9" t="str">
        <f t="shared" si="52"/>
        <v>Reg</v>
      </c>
      <c r="AS56" s="6">
        <f t="shared" si="53"/>
        <v>5.333333333333333</v>
      </c>
      <c r="AT56" s="6" t="str">
        <f t="shared" si="54"/>
        <v>Reg</v>
      </c>
      <c r="AU56" s="9">
        <f t="shared" si="55"/>
        <v>5.333333333333333</v>
      </c>
      <c r="AV56" s="9" t="str">
        <f t="shared" si="56"/>
        <v>Reg</v>
      </c>
      <c r="AW56" s="53">
        <f t="shared" si="57"/>
        <v>0</v>
      </c>
      <c r="AX56" s="5">
        <f t="shared" si="58"/>
        <v>0</v>
      </c>
      <c r="AY56" s="5">
        <f t="shared" si="59"/>
        <v>0</v>
      </c>
      <c r="AZ56" s="5">
        <f t="shared" si="60"/>
        <v>0</v>
      </c>
      <c r="BA56" s="5">
        <f t="shared" si="61"/>
        <v>0</v>
      </c>
      <c r="BB56" s="5">
        <f t="shared" si="62"/>
        <v>0</v>
      </c>
      <c r="BC56" s="5">
        <f t="shared" si="63"/>
        <v>0</v>
      </c>
      <c r="BD56" s="5">
        <f t="shared" si="64"/>
        <v>1</v>
      </c>
      <c r="BE56" s="3">
        <f t="shared" si="65"/>
        <v>1</v>
      </c>
      <c r="BF56" s="53">
        <f t="shared" si="66"/>
        <v>0</v>
      </c>
      <c r="BG56" s="5">
        <f t="shared" si="67"/>
        <v>0</v>
      </c>
      <c r="BH56" s="5">
        <f t="shared" si="68"/>
        <v>0</v>
      </c>
      <c r="BI56" s="5">
        <f t="shared" si="69"/>
        <v>0</v>
      </c>
      <c r="BJ56" s="5">
        <f t="shared" si="70"/>
        <v>0</v>
      </c>
      <c r="BK56" s="5">
        <f t="shared" si="71"/>
        <v>0</v>
      </c>
      <c r="BL56" s="5">
        <f t="shared" si="72"/>
        <v>0</v>
      </c>
      <c r="BM56" s="5">
        <f t="shared" si="73"/>
        <v>1</v>
      </c>
      <c r="BN56" s="3">
        <f t="shared" si="74"/>
        <v>1</v>
      </c>
      <c r="BO56" s="3">
        <f t="shared" si="75"/>
        <v>3</v>
      </c>
      <c r="BP56" s="7">
        <f t="shared" si="76"/>
        <v>2</v>
      </c>
      <c r="BQ56" t="str">
        <f t="shared" si="77"/>
        <v/>
      </c>
      <c r="BR56" s="91">
        <f>IF(Q56="-","-",VLOOKUP($G56,CTBat!$G$10:$AN$89,BR$9,FALSE)-Q56)</f>
        <v>0</v>
      </c>
      <c r="BS56" s="91">
        <f>IF(R56="-","-",VLOOKUP($G56,CTBat!$G$10:$AN$89,BS$9,FALSE)-R56)</f>
        <v>0</v>
      </c>
      <c r="BT56" s="91">
        <f>IF(S56="-","-",VLOOKUP($G56,CTBat!$G$10:$AN$89,BT$9,FALSE)-S56)</f>
        <v>0</v>
      </c>
      <c r="BU56" s="91">
        <f>IF(T56="-","-",VLOOKUP($G56,CTBat!$G$10:$AN$89,BU$9,FALSE)-T56)</f>
        <v>0</v>
      </c>
      <c r="BV56" s="91">
        <f>IF(U56="-","-",VLOOKUP($G56,CTBat!$G$10:$AN$89,BV$9,FALSE)-U56)</f>
        <v>0</v>
      </c>
      <c r="BW56" s="91">
        <f>IF(V56="-","-",VLOOKUP($G56,CTBat!$G$10:$AN$89,BW$9,FALSE)-V56)</f>
        <v>0</v>
      </c>
      <c r="BX56" s="91">
        <f>IF(W56="-","-",VLOOKUP($G56,CTBat!$G$10:$AN$89,BX$9,FALSE)-W56)</f>
        <v>0</v>
      </c>
      <c r="BY56" s="91">
        <f>IF(X56="-","-",VLOOKUP($G56,CTBat!$G$10:$AN$89,BY$9,FALSE)-X56)</f>
        <v>0</v>
      </c>
      <c r="BZ56" s="91">
        <f>IF(Y56="-","-",VLOOKUP($G56,CTBat!$G$10:$AN$89,BZ$9,FALSE)-Y56)</f>
        <v>0</v>
      </c>
      <c r="CA56" s="91">
        <f>IF(Z56="-","-",VLOOKUP($G56,CTBat!$G$10:$AN$89,CA$9,FALSE)-Z56)</f>
        <v>0</v>
      </c>
      <c r="CB56" s="91">
        <f>IF(AA56="-","-",VLOOKUP($G56,CTBat!$G$10:$AN$89,CB$9,FALSE)-AA56)</f>
        <v>0</v>
      </c>
      <c r="CC56" s="91">
        <f>IF(AB56="-","-",VLOOKUP($G56,CTBat!$G$10:$AN$89,CC$9,FALSE)-AB56)</f>
        <v>0</v>
      </c>
      <c r="CD56" s="91">
        <f>IF(AC56="-","-",VLOOKUP($G56,CTBat!$G$10:$AN$89,CD$9,FALSE)-AC56)</f>
        <v>0</v>
      </c>
      <c r="CE56" s="91" t="str">
        <f>IF(AD56="-","-",VLOOKUP($G56,CTBat!$G$10:$AN$89,CE$9,FALSE)-AD56)</f>
        <v>-</v>
      </c>
      <c r="CF56" s="91" t="str">
        <f>IF(AE56="-","-",VLOOKUP($G56,CTBat!$G$10:$AN$89,CF$9,FALSE)-AE56)</f>
        <v>-</v>
      </c>
      <c r="CG56" s="91" t="str">
        <f>IF(AF56="-","-",VLOOKUP($G56,CTBat!$G$10:$AN$89,CG$9,FALSE)-AF56)</f>
        <v>-</v>
      </c>
      <c r="CH56" s="91" t="str">
        <f>IF(AG56="-","-",VLOOKUP($G56,CTBat!$G$10:$AN$89,CH$9,FALSE)-AG56)</f>
        <v>-</v>
      </c>
      <c r="CI56" s="91" t="str">
        <f>IF(AH56="-","-",VLOOKUP($G56,CTBat!$G$10:$AN$89,CI$9,FALSE)-AH56)</f>
        <v>-</v>
      </c>
      <c r="CJ56" s="91">
        <f>IF(AI56="-","-",VLOOKUP($G56,CTBat!$G$10:$AN$89,CJ$9,FALSE)-AI56)</f>
        <v>0</v>
      </c>
      <c r="CK56" s="91">
        <f>IF(AJ56="-","-",VLOOKUP($G56,CTBat!$G$10:$AN$89,CK$9,FALSE)-AJ56)</f>
        <v>0</v>
      </c>
      <c r="CL56" s="91">
        <f>IF(AK56="-","-",VLOOKUP($G56,CTBat!$G$10:$AN$89,CL$9,FALSE)-AK56)</f>
        <v>0</v>
      </c>
      <c r="CM56" s="91">
        <f>IF(AL56="-","-",VLOOKUP($G56,CTBat!$G$10:$AN$89,CM$9,FALSE)-AL56)</f>
        <v>0</v>
      </c>
      <c r="CN56" s="91">
        <f>IF(AM56="-","-",VLOOKUP($G56,CTBat!$G$10:$AN$89,CN$9,FALSE)-AM56)</f>
        <v>0</v>
      </c>
      <c r="CO56" s="91">
        <f>IF(AN56="-","-",VLOOKUP($G56,CTBat!$G$10:$AN$89,CO$9,FALSE)-AN56)</f>
        <v>0</v>
      </c>
      <c r="CP56" s="91">
        <f t="shared" si="78"/>
        <v>0</v>
      </c>
      <c r="CQ56" s="91">
        <f t="shared" si="79"/>
        <v>0</v>
      </c>
      <c r="CR56" s="91">
        <f t="shared" si="80"/>
        <v>0</v>
      </c>
      <c r="CS56" s="91">
        <f t="shared" si="81"/>
        <v>0</v>
      </c>
      <c r="CT56" s="91">
        <f t="shared" si="82"/>
        <v>0</v>
      </c>
    </row>
    <row r="57" spans="1:98">
      <c r="A57" s="91"/>
      <c r="B57" s="91"/>
      <c r="C57" s="91">
        <f t="shared" si="48"/>
        <v>6</v>
      </c>
      <c r="D57" s="91">
        <f t="shared" si="49"/>
        <v>8</v>
      </c>
      <c r="E57" s="91" t="str">
        <f t="shared" si="50"/>
        <v>K</v>
      </c>
      <c r="F57" s="91" t="s">
        <v>101</v>
      </c>
      <c r="G57" s="91" t="s">
        <v>251</v>
      </c>
      <c r="H57" s="91" t="s">
        <v>384</v>
      </c>
      <c r="I57" s="91" t="s">
        <v>213</v>
      </c>
      <c r="J57" s="91">
        <v>26</v>
      </c>
      <c r="K57" s="91" t="s">
        <v>107</v>
      </c>
      <c r="L57" s="91" t="s">
        <v>107</v>
      </c>
      <c r="M57" s="91" t="s">
        <v>47</v>
      </c>
      <c r="N57" s="282" t="s">
        <v>47</v>
      </c>
      <c r="O57" s="91" t="s">
        <v>228</v>
      </c>
      <c r="P57" s="282" t="s">
        <v>230</v>
      </c>
      <c r="Q57" s="91">
        <v>6</v>
      </c>
      <c r="R57" s="91">
        <v>8</v>
      </c>
      <c r="S57" s="91">
        <v>4</v>
      </c>
      <c r="T57" s="91">
        <v>5</v>
      </c>
      <c r="U57" s="282">
        <v>5</v>
      </c>
      <c r="V57" s="91">
        <v>7</v>
      </c>
      <c r="W57" s="91">
        <v>9</v>
      </c>
      <c r="X57" s="91">
        <v>4</v>
      </c>
      <c r="Y57" s="91">
        <v>5</v>
      </c>
      <c r="Z57" s="282">
        <v>5</v>
      </c>
      <c r="AA57" s="91">
        <v>1</v>
      </c>
      <c r="AB57" s="91">
        <v>6</v>
      </c>
      <c r="AC57" s="91">
        <v>1</v>
      </c>
      <c r="AD57" s="91" t="s">
        <v>41</v>
      </c>
      <c r="AE57" s="91">
        <v>1</v>
      </c>
      <c r="AF57" s="91" t="s">
        <v>41</v>
      </c>
      <c r="AG57" s="91" t="s">
        <v>41</v>
      </c>
      <c r="AH57" s="91" t="s">
        <v>41</v>
      </c>
      <c r="AI57" s="91">
        <v>6</v>
      </c>
      <c r="AJ57" s="91" t="s">
        <v>41</v>
      </c>
      <c r="AK57" s="282">
        <v>3</v>
      </c>
      <c r="AL57" s="91">
        <v>2</v>
      </c>
      <c r="AM57" s="91">
        <v>3</v>
      </c>
      <c r="AN57" s="282">
        <v>1</v>
      </c>
      <c r="AO57" s="92" t="s">
        <v>41</v>
      </c>
      <c r="AP57" s="282">
        <v>0</v>
      </c>
      <c r="AQ57" s="93">
        <f t="shared" si="51"/>
        <v>5</v>
      </c>
      <c r="AR57" s="94" t="str">
        <f t="shared" si="52"/>
        <v>Bench</v>
      </c>
      <c r="AS57" s="93">
        <f t="shared" si="53"/>
        <v>5.333333333333333</v>
      </c>
      <c r="AT57" s="93" t="str">
        <f t="shared" si="54"/>
        <v>Reg</v>
      </c>
      <c r="AU57" s="94">
        <f t="shared" si="55"/>
        <v>5</v>
      </c>
      <c r="AV57" s="94" t="str">
        <f t="shared" si="56"/>
        <v>Bench</v>
      </c>
      <c r="AW57" s="95">
        <f t="shared" si="57"/>
        <v>0</v>
      </c>
      <c r="AX57" s="96">
        <f t="shared" si="58"/>
        <v>0</v>
      </c>
      <c r="AY57" s="96">
        <f t="shared" si="59"/>
        <v>0</v>
      </c>
      <c r="AZ57" s="96">
        <f t="shared" si="60"/>
        <v>0</v>
      </c>
      <c r="BA57" s="96">
        <f t="shared" si="61"/>
        <v>0</v>
      </c>
      <c r="BB57" s="96">
        <f t="shared" si="62"/>
        <v>0</v>
      </c>
      <c r="BC57" s="96">
        <f t="shared" si="63"/>
        <v>0</v>
      </c>
      <c r="BD57" s="96">
        <f t="shared" si="64"/>
        <v>1</v>
      </c>
      <c r="BE57" s="282">
        <f t="shared" si="65"/>
        <v>1</v>
      </c>
      <c r="BF57" s="95">
        <f t="shared" si="66"/>
        <v>0</v>
      </c>
      <c r="BG57" s="96">
        <f t="shared" si="67"/>
        <v>0</v>
      </c>
      <c r="BH57" s="96">
        <f t="shared" si="68"/>
        <v>0</v>
      </c>
      <c r="BI57" s="96">
        <f t="shared" si="69"/>
        <v>0</v>
      </c>
      <c r="BJ57" s="96">
        <f t="shared" si="70"/>
        <v>0</v>
      </c>
      <c r="BK57" s="96">
        <f t="shared" si="71"/>
        <v>1</v>
      </c>
      <c r="BL57" s="96">
        <f t="shared" si="72"/>
        <v>1</v>
      </c>
      <c r="BM57" s="96">
        <f t="shared" si="73"/>
        <v>1</v>
      </c>
      <c r="BN57" s="282">
        <f t="shared" si="74"/>
        <v>1</v>
      </c>
      <c r="BO57" s="282">
        <f t="shared" si="75"/>
        <v>0</v>
      </c>
      <c r="BP57" s="97">
        <f t="shared" si="76"/>
        <v>1</v>
      </c>
      <c r="BQ57" s="91" t="str">
        <f t="shared" si="77"/>
        <v/>
      </c>
      <c r="BR57" s="91">
        <f>IF(Q57="-","-",VLOOKUP($G57,CTBat!$G$10:$AN$89,BR$9,FALSE)-Q57)</f>
        <v>0</v>
      </c>
      <c r="BS57" s="91">
        <f>IF(R57="-","-",VLOOKUP($G57,CTBat!$G$10:$AN$89,BS$9,FALSE)-R57)</f>
        <v>0</v>
      </c>
      <c r="BT57" s="91">
        <f>IF(S57="-","-",VLOOKUP($G57,CTBat!$G$10:$AN$89,BT$9,FALSE)-S57)</f>
        <v>0</v>
      </c>
      <c r="BU57" s="91">
        <f>IF(T57="-","-",VLOOKUP($G57,CTBat!$G$10:$AN$89,BU$9,FALSE)-T57)</f>
        <v>0</v>
      </c>
      <c r="BV57" s="91">
        <f>IF(U57="-","-",VLOOKUP($G57,CTBat!$G$10:$AN$89,BV$9,FALSE)-U57)</f>
        <v>0</v>
      </c>
      <c r="BW57" s="91">
        <f>IF(V57="-","-",VLOOKUP($G57,CTBat!$G$10:$AN$89,BW$9,FALSE)-V57)</f>
        <v>0</v>
      </c>
      <c r="BX57" s="91">
        <f>IF(W57="-","-",VLOOKUP($G57,CTBat!$G$10:$AN$89,BX$9,FALSE)-W57)</f>
        <v>0</v>
      </c>
      <c r="BY57" s="91">
        <f>IF(X57="-","-",VLOOKUP($G57,CTBat!$G$10:$AN$89,BY$9,FALSE)-X57)</f>
        <v>0</v>
      </c>
      <c r="BZ57" s="91">
        <f>IF(Y57="-","-",VLOOKUP($G57,CTBat!$G$10:$AN$89,BZ$9,FALSE)-Y57)</f>
        <v>0</v>
      </c>
      <c r="CA57" s="91">
        <f>IF(Z57="-","-",VLOOKUP($G57,CTBat!$G$10:$AN$89,CA$9,FALSE)-Z57)</f>
        <v>0</v>
      </c>
      <c r="CB57" s="91">
        <f>IF(AA57="-","-",VLOOKUP($G57,CTBat!$G$10:$AN$89,CB$9,FALSE)-AA57)</f>
        <v>0</v>
      </c>
      <c r="CC57" s="91">
        <f>IF(AB57="-","-",VLOOKUP($G57,CTBat!$G$10:$AN$89,CC$9,FALSE)-AB57)</f>
        <v>0</v>
      </c>
      <c r="CD57" s="91">
        <f>IF(AC57="-","-",VLOOKUP($G57,CTBat!$G$10:$AN$89,CD$9,FALSE)-AC57)</f>
        <v>0</v>
      </c>
      <c r="CE57" s="91" t="str">
        <f>IF(AD57="-","-",VLOOKUP($G57,CTBat!$G$10:$AN$89,CE$9,FALSE)-AD57)</f>
        <v>-</v>
      </c>
      <c r="CF57" s="91">
        <f>IF(AE57="-","-",VLOOKUP($G57,CTBat!$G$10:$AN$89,CF$9,FALSE)-AE57)</f>
        <v>0</v>
      </c>
      <c r="CG57" s="91" t="str">
        <f>IF(AF57="-","-",VLOOKUP($G57,CTBat!$G$10:$AN$89,CG$9,FALSE)-AF57)</f>
        <v>-</v>
      </c>
      <c r="CH57" s="91" t="str">
        <f>IF(AG57="-","-",VLOOKUP($G57,CTBat!$G$10:$AN$89,CH$9,FALSE)-AG57)</f>
        <v>-</v>
      </c>
      <c r="CI57" s="91" t="str">
        <f>IF(AH57="-","-",VLOOKUP($G57,CTBat!$G$10:$AN$89,CI$9,FALSE)-AH57)</f>
        <v>-</v>
      </c>
      <c r="CJ57" s="91">
        <f>IF(AI57="-","-",VLOOKUP($G57,CTBat!$G$10:$AN$89,CJ$9,FALSE)-AI57)</f>
        <v>0</v>
      </c>
      <c r="CK57" s="91" t="str">
        <f>IF(AJ57="-","-",VLOOKUP($G57,CTBat!$G$10:$AN$89,CK$9,FALSE)-AJ57)</f>
        <v>-</v>
      </c>
      <c r="CL57" s="91">
        <f>IF(AK57="-","-",VLOOKUP($G57,CTBat!$G$10:$AN$89,CL$9,FALSE)-AK57)</f>
        <v>0</v>
      </c>
      <c r="CM57" s="91">
        <f>IF(AL57="-","-",VLOOKUP($G57,CTBat!$G$10:$AN$89,CM$9,FALSE)-AL57)</f>
        <v>0</v>
      </c>
      <c r="CN57" s="91">
        <f>IF(AM57="-","-",VLOOKUP($G57,CTBat!$G$10:$AN$89,CN$9,FALSE)-AM57)</f>
        <v>0</v>
      </c>
      <c r="CO57" s="91">
        <f>IF(AN57="-","-",VLOOKUP($G57,CTBat!$G$10:$AN$89,CO$9,FALSE)-AN57)</f>
        <v>0</v>
      </c>
      <c r="CP57" s="91">
        <f t="shared" si="78"/>
        <v>0</v>
      </c>
      <c r="CQ57" s="91">
        <f t="shared" si="79"/>
        <v>0</v>
      </c>
      <c r="CR57" s="91">
        <f t="shared" si="80"/>
        <v>0</v>
      </c>
      <c r="CS57" s="91">
        <f t="shared" si="81"/>
        <v>0</v>
      </c>
      <c r="CT57" s="91">
        <f t="shared" si="82"/>
        <v>0</v>
      </c>
    </row>
    <row r="58" spans="1:98">
      <c r="C58" t="str">
        <f t="shared" si="48"/>
        <v>-</v>
      </c>
      <c r="D58" t="str">
        <f t="shared" si="49"/>
        <v>-</v>
      </c>
      <c r="E58" t="str">
        <f t="shared" si="50"/>
        <v>K</v>
      </c>
      <c r="F58" t="s">
        <v>100</v>
      </c>
      <c r="G58" t="s">
        <v>460</v>
      </c>
      <c r="H58" t="s">
        <v>385</v>
      </c>
      <c r="I58" t="s">
        <v>214</v>
      </c>
      <c r="J58">
        <v>23</v>
      </c>
      <c r="K58" t="s">
        <v>107</v>
      </c>
      <c r="L58" t="s">
        <v>107</v>
      </c>
      <c r="M58" t="s">
        <v>47</v>
      </c>
      <c r="N58" s="269" t="s">
        <v>47</v>
      </c>
      <c r="O58" t="s">
        <v>228</v>
      </c>
      <c r="P58" s="269" t="s">
        <v>229</v>
      </c>
      <c r="Q58">
        <v>5</v>
      </c>
      <c r="R58">
        <v>6</v>
      </c>
      <c r="S58">
        <v>4</v>
      </c>
      <c r="T58">
        <v>5</v>
      </c>
      <c r="U58" s="269">
        <v>4</v>
      </c>
      <c r="V58">
        <v>5</v>
      </c>
      <c r="W58">
        <v>6</v>
      </c>
      <c r="X58">
        <v>5</v>
      </c>
      <c r="Y58">
        <v>6</v>
      </c>
      <c r="Z58" s="269">
        <v>4</v>
      </c>
      <c r="AA58">
        <v>9</v>
      </c>
      <c r="AB58">
        <v>8</v>
      </c>
      <c r="AC58">
        <v>1</v>
      </c>
      <c r="AD58" t="s">
        <v>41</v>
      </c>
      <c r="AE58">
        <v>9</v>
      </c>
      <c r="AF58">
        <v>6</v>
      </c>
      <c r="AG58">
        <v>8</v>
      </c>
      <c r="AH58">
        <v>7</v>
      </c>
      <c r="AI58">
        <v>6</v>
      </c>
      <c r="AJ58" t="s">
        <v>41</v>
      </c>
      <c r="AK58" s="269" t="s">
        <v>41</v>
      </c>
      <c r="AL58">
        <v>7</v>
      </c>
      <c r="AM58">
        <v>8</v>
      </c>
      <c r="AN58" s="269">
        <v>7</v>
      </c>
      <c r="AO58" s="85" t="s">
        <v>41</v>
      </c>
      <c r="AP58" s="269">
        <v>0</v>
      </c>
      <c r="AQ58" s="6">
        <f t="shared" si="51"/>
        <v>4.166666666666667</v>
      </c>
      <c r="AR58" s="9" t="str">
        <f t="shared" si="52"/>
        <v>Bench</v>
      </c>
      <c r="AS58" s="6">
        <f t="shared" si="53"/>
        <v>4.833333333333333</v>
      </c>
      <c r="AT58" s="6" t="str">
        <f t="shared" si="54"/>
        <v>Bench</v>
      </c>
      <c r="AU58" s="9">
        <f t="shared" si="55"/>
        <v>4.833333333333333</v>
      </c>
      <c r="AV58" s="9" t="str">
        <f t="shared" si="56"/>
        <v>Bench</v>
      </c>
      <c r="AW58" s="53">
        <f t="shared" si="57"/>
        <v>0</v>
      </c>
      <c r="AX58" s="268">
        <f t="shared" si="58"/>
        <v>0</v>
      </c>
      <c r="AY58" s="268">
        <f t="shared" si="59"/>
        <v>0</v>
      </c>
      <c r="AZ58" s="268">
        <f t="shared" si="60"/>
        <v>0</v>
      </c>
      <c r="BA58" s="268">
        <f t="shared" si="61"/>
        <v>0</v>
      </c>
      <c r="BB58" s="268">
        <f t="shared" si="62"/>
        <v>0</v>
      </c>
      <c r="BC58" s="268">
        <f t="shared" si="63"/>
        <v>0</v>
      </c>
      <c r="BD58" s="268">
        <f t="shared" si="64"/>
        <v>0</v>
      </c>
      <c r="BE58" s="269">
        <f t="shared" si="65"/>
        <v>0</v>
      </c>
      <c r="BF58" s="53">
        <f t="shared" si="66"/>
        <v>0</v>
      </c>
      <c r="BG58" s="268">
        <f t="shared" si="67"/>
        <v>0</v>
      </c>
      <c r="BH58" s="268">
        <f t="shared" si="68"/>
        <v>0</v>
      </c>
      <c r="BI58" s="268">
        <f t="shared" si="69"/>
        <v>0</v>
      </c>
      <c r="BJ58" s="268">
        <f t="shared" si="70"/>
        <v>0</v>
      </c>
      <c r="BK58" s="268">
        <f t="shared" si="71"/>
        <v>0</v>
      </c>
      <c r="BL58" s="268">
        <f t="shared" si="72"/>
        <v>0</v>
      </c>
      <c r="BM58" s="268">
        <f t="shared" si="73"/>
        <v>0</v>
      </c>
      <c r="BN58" s="269">
        <f t="shared" si="74"/>
        <v>0</v>
      </c>
      <c r="BO58" s="269">
        <f t="shared" si="75"/>
        <v>3</v>
      </c>
      <c r="BP58" s="7">
        <f t="shared" si="76"/>
        <v>2</v>
      </c>
      <c r="BQ58" t="str">
        <f t="shared" si="77"/>
        <v/>
      </c>
      <c r="BR58" s="91">
        <f>IF(Q58="-","-",VLOOKUP($G58,CTBat!$G$10:$AN$89,BR$9,FALSE)-Q58)</f>
        <v>0</v>
      </c>
      <c r="BS58" s="91">
        <f>IF(R58="-","-",VLOOKUP($G58,CTBat!$G$10:$AN$89,BS$9,FALSE)-R58)</f>
        <v>0</v>
      </c>
      <c r="BT58" s="91">
        <f>IF(S58="-","-",VLOOKUP($G58,CTBat!$G$10:$AN$89,BT$9,FALSE)-S58)</f>
        <v>0</v>
      </c>
      <c r="BU58" s="91">
        <f>IF(T58="-","-",VLOOKUP($G58,CTBat!$G$10:$AN$89,BU$9,FALSE)-T58)</f>
        <v>0</v>
      </c>
      <c r="BV58" s="91">
        <f>IF(U58="-","-",VLOOKUP($G58,CTBat!$G$10:$AN$89,BV$9,FALSE)-U58)</f>
        <v>0</v>
      </c>
      <c r="BW58" s="91">
        <f>IF(V58="-","-",VLOOKUP($G58,CTBat!$G$10:$AN$89,BW$9,FALSE)-V58)</f>
        <v>0</v>
      </c>
      <c r="BX58" s="91">
        <f>IF(W58="-","-",VLOOKUP($G58,CTBat!$G$10:$AN$89,BX$9,FALSE)-W58)</f>
        <v>0</v>
      </c>
      <c r="BY58" s="91">
        <f>IF(X58="-","-",VLOOKUP($G58,CTBat!$G$10:$AN$89,BY$9,FALSE)-X58)</f>
        <v>0</v>
      </c>
      <c r="BZ58" s="91">
        <f>IF(Y58="-","-",VLOOKUP($G58,CTBat!$G$10:$AN$89,BZ$9,FALSE)-Y58)</f>
        <v>0</v>
      </c>
      <c r="CA58" s="91">
        <f>IF(Z58="-","-",VLOOKUP($G58,CTBat!$G$10:$AN$89,CA$9,FALSE)-Z58)</f>
        <v>0</v>
      </c>
      <c r="CB58" s="91">
        <f>IF(AA58="-","-",VLOOKUP($G58,CTBat!$G$10:$AN$89,CB$9,FALSE)-AA58)</f>
        <v>0</v>
      </c>
      <c r="CC58" s="91">
        <f>IF(AB58="-","-",VLOOKUP($G58,CTBat!$G$10:$AN$89,CC$9,FALSE)-AB58)</f>
        <v>0</v>
      </c>
      <c r="CD58" s="91">
        <f>IF(AC58="-","-",VLOOKUP($G58,CTBat!$G$10:$AN$89,CD$9,FALSE)-AC58)</f>
        <v>0</v>
      </c>
      <c r="CE58" s="91" t="str">
        <f>IF(AD58="-","-",VLOOKUP($G58,CTBat!$G$10:$AN$89,CE$9,FALSE)-AD58)</f>
        <v>-</v>
      </c>
      <c r="CF58" s="91">
        <f>IF(AE58="-","-",VLOOKUP($G58,CTBat!$G$10:$AN$89,CF$9,FALSE)-AE58)</f>
        <v>0</v>
      </c>
      <c r="CG58" s="91">
        <f>IF(AF58="-","-",VLOOKUP($G58,CTBat!$G$10:$AN$89,CG$9,FALSE)-AF58)</f>
        <v>0</v>
      </c>
      <c r="CH58" s="91">
        <f>IF(AG58="-","-",VLOOKUP($G58,CTBat!$G$10:$AN$89,CH$9,FALSE)-AG58)</f>
        <v>0</v>
      </c>
      <c r="CI58" s="91">
        <f>IF(AH58="-","-",VLOOKUP($G58,CTBat!$G$10:$AN$89,CI$9,FALSE)-AH58)</f>
        <v>0</v>
      </c>
      <c r="CJ58" s="91">
        <f>IF(AI58="-","-",VLOOKUP($G58,CTBat!$G$10:$AN$89,CJ$9,FALSE)-AI58)</f>
        <v>0</v>
      </c>
      <c r="CK58" s="91" t="str">
        <f>IF(AJ58="-","-",VLOOKUP($G58,CTBat!$G$10:$AN$89,CK$9,FALSE)-AJ58)</f>
        <v>-</v>
      </c>
      <c r="CL58" s="91" t="str">
        <f>IF(AK58="-","-",VLOOKUP($G58,CTBat!$G$10:$AN$89,CL$9,FALSE)-AK58)</f>
        <v>-</v>
      </c>
      <c r="CM58" s="91">
        <f>IF(AL58="-","-",VLOOKUP($G58,CTBat!$G$10:$AN$89,CM$9,FALSE)-AL58)</f>
        <v>0</v>
      </c>
      <c r="CN58" s="91">
        <f>IF(AM58="-","-",VLOOKUP($G58,CTBat!$G$10:$AN$89,CN$9,FALSE)-AM58)</f>
        <v>0</v>
      </c>
      <c r="CO58" s="91">
        <f>IF(AN58="-","-",VLOOKUP($G58,CTBat!$G$10:$AN$89,CO$9,FALSE)-AN58)</f>
        <v>0</v>
      </c>
      <c r="CP58" s="91">
        <f t="shared" si="78"/>
        <v>0</v>
      </c>
      <c r="CQ58" s="91">
        <f t="shared" si="79"/>
        <v>0</v>
      </c>
      <c r="CR58" s="91">
        <f t="shared" si="80"/>
        <v>0</v>
      </c>
      <c r="CS58" s="91">
        <f t="shared" si="81"/>
        <v>0</v>
      </c>
      <c r="CT58" s="91">
        <f t="shared" si="82"/>
        <v>0</v>
      </c>
    </row>
    <row r="59" spans="1:98">
      <c r="C59">
        <f t="shared" si="48"/>
        <v>6</v>
      </c>
      <c r="D59" t="str">
        <f t="shared" si="49"/>
        <v>-</v>
      </c>
      <c r="E59" t="str">
        <f t="shared" si="50"/>
        <v>K</v>
      </c>
      <c r="F59" t="s">
        <v>99</v>
      </c>
      <c r="G59" t="s">
        <v>501</v>
      </c>
      <c r="H59" t="s">
        <v>383</v>
      </c>
      <c r="I59" t="s">
        <v>327</v>
      </c>
      <c r="J59">
        <v>22</v>
      </c>
      <c r="K59" t="s">
        <v>107</v>
      </c>
      <c r="L59" t="s">
        <v>107</v>
      </c>
      <c r="M59" t="s">
        <v>47</v>
      </c>
      <c r="N59" s="3" t="s">
        <v>47</v>
      </c>
      <c r="O59" t="s">
        <v>230</v>
      </c>
      <c r="P59" s="3" t="s">
        <v>231</v>
      </c>
      <c r="Q59">
        <v>5</v>
      </c>
      <c r="R59">
        <v>4</v>
      </c>
      <c r="S59">
        <v>3</v>
      </c>
      <c r="T59">
        <v>4</v>
      </c>
      <c r="U59" s="3">
        <v>3</v>
      </c>
      <c r="V59">
        <v>7</v>
      </c>
      <c r="W59">
        <v>6</v>
      </c>
      <c r="X59">
        <v>3</v>
      </c>
      <c r="Y59">
        <v>4</v>
      </c>
      <c r="Z59" s="3">
        <v>6</v>
      </c>
      <c r="AA59">
        <v>9</v>
      </c>
      <c r="AB59">
        <v>8</v>
      </c>
      <c r="AC59">
        <v>1</v>
      </c>
      <c r="AD59" t="s">
        <v>41</v>
      </c>
      <c r="AE59">
        <v>6</v>
      </c>
      <c r="AF59">
        <v>5</v>
      </c>
      <c r="AG59">
        <v>8</v>
      </c>
      <c r="AH59">
        <v>4</v>
      </c>
      <c r="AI59">
        <v>6</v>
      </c>
      <c r="AJ59">
        <v>3</v>
      </c>
      <c r="AK59" s="3" t="s">
        <v>41</v>
      </c>
      <c r="AL59">
        <v>8</v>
      </c>
      <c r="AM59">
        <v>9</v>
      </c>
      <c r="AN59" s="3">
        <v>8</v>
      </c>
      <c r="AO59" s="85" t="s">
        <v>41</v>
      </c>
      <c r="AP59" s="3">
        <v>0</v>
      </c>
      <c r="AQ59" s="6">
        <f t="shared" si="51"/>
        <v>3.5</v>
      </c>
      <c r="AR59" s="9" t="str">
        <f t="shared" si="52"/>
        <v>Minors</v>
      </c>
      <c r="AS59" s="6">
        <f t="shared" si="53"/>
        <v>4.666666666666667</v>
      </c>
      <c r="AT59" s="6" t="str">
        <f t="shared" si="54"/>
        <v>Bench</v>
      </c>
      <c r="AU59" s="9">
        <f t="shared" si="55"/>
        <v>4.666666666666667</v>
      </c>
      <c r="AV59" s="9" t="str">
        <f t="shared" si="56"/>
        <v>Bench</v>
      </c>
      <c r="AW59" s="53">
        <f t="shared" si="57"/>
        <v>0</v>
      </c>
      <c r="AX59" s="5">
        <f t="shared" si="58"/>
        <v>0</v>
      </c>
      <c r="AY59" s="5">
        <f t="shared" si="59"/>
        <v>0</v>
      </c>
      <c r="AZ59" s="5">
        <f t="shared" si="60"/>
        <v>0</v>
      </c>
      <c r="BA59" s="5">
        <f t="shared" si="61"/>
        <v>0</v>
      </c>
      <c r="BB59" s="5">
        <f t="shared" si="62"/>
        <v>0</v>
      </c>
      <c r="BC59" s="5">
        <f t="shared" si="63"/>
        <v>0</v>
      </c>
      <c r="BD59" s="5">
        <f t="shared" si="64"/>
        <v>0</v>
      </c>
      <c r="BE59" s="3">
        <f t="shared" si="65"/>
        <v>0</v>
      </c>
      <c r="BF59" s="53">
        <f t="shared" si="66"/>
        <v>0</v>
      </c>
      <c r="BG59" s="5">
        <f t="shared" si="67"/>
        <v>0</v>
      </c>
      <c r="BH59" s="5">
        <f t="shared" si="68"/>
        <v>0</v>
      </c>
      <c r="BI59" s="5">
        <f t="shared" si="69"/>
        <v>0</v>
      </c>
      <c r="BJ59" s="5">
        <f t="shared" si="70"/>
        <v>0</v>
      </c>
      <c r="BK59" s="5">
        <f t="shared" si="71"/>
        <v>1</v>
      </c>
      <c r="BL59" s="5">
        <f t="shared" si="72"/>
        <v>1</v>
      </c>
      <c r="BM59" s="5">
        <f t="shared" si="73"/>
        <v>1</v>
      </c>
      <c r="BN59" s="3">
        <f t="shared" si="74"/>
        <v>1</v>
      </c>
      <c r="BO59" s="3">
        <f t="shared" si="75"/>
        <v>4</v>
      </c>
      <c r="BP59" s="7">
        <f t="shared" si="76"/>
        <v>2</v>
      </c>
      <c r="BQ59" t="str">
        <f t="shared" si="77"/>
        <v/>
      </c>
      <c r="BR59" s="91">
        <f>IF(Q59="-","-",VLOOKUP($G59,CTBat!$G$10:$AN$89,BR$9,FALSE)-Q59)</f>
        <v>0</v>
      </c>
      <c r="BS59" s="91">
        <f>IF(R59="-","-",VLOOKUP($G59,CTBat!$G$10:$AN$89,BS$9,FALSE)-R59)</f>
        <v>0</v>
      </c>
      <c r="BT59" s="91">
        <f>IF(S59="-","-",VLOOKUP($G59,CTBat!$G$10:$AN$89,BT$9,FALSE)-S59)</f>
        <v>0</v>
      </c>
      <c r="BU59" s="91">
        <f>IF(T59="-","-",VLOOKUP($G59,CTBat!$G$10:$AN$89,BU$9,FALSE)-T59)</f>
        <v>0</v>
      </c>
      <c r="BV59" s="91">
        <f>IF(U59="-","-",VLOOKUP($G59,CTBat!$G$10:$AN$89,BV$9,FALSE)-U59)</f>
        <v>0</v>
      </c>
      <c r="BW59" s="91">
        <f>IF(V59="-","-",VLOOKUP($G59,CTBat!$G$10:$AN$89,BW$9,FALSE)-V59)</f>
        <v>0</v>
      </c>
      <c r="BX59" s="91">
        <f>IF(W59="-","-",VLOOKUP($G59,CTBat!$G$10:$AN$89,BX$9,FALSE)-W59)</f>
        <v>0</v>
      </c>
      <c r="BY59" s="91">
        <f>IF(X59="-","-",VLOOKUP($G59,CTBat!$G$10:$AN$89,BY$9,FALSE)-X59)</f>
        <v>0</v>
      </c>
      <c r="BZ59" s="91">
        <f>IF(Y59="-","-",VLOOKUP($G59,CTBat!$G$10:$AN$89,BZ$9,FALSE)-Y59)</f>
        <v>0</v>
      </c>
      <c r="CA59" s="91">
        <f>IF(Z59="-","-",VLOOKUP($G59,CTBat!$G$10:$AN$89,CA$9,FALSE)-Z59)</f>
        <v>0</v>
      </c>
      <c r="CB59" s="91">
        <f>IF(AA59="-","-",VLOOKUP($G59,CTBat!$G$10:$AN$89,CB$9,FALSE)-AA59)</f>
        <v>0</v>
      </c>
      <c r="CC59" s="91">
        <f>IF(AB59="-","-",VLOOKUP($G59,CTBat!$G$10:$AN$89,CC$9,FALSE)-AB59)</f>
        <v>0</v>
      </c>
      <c r="CD59" s="91">
        <f>IF(AC59="-","-",VLOOKUP($G59,CTBat!$G$10:$AN$89,CD$9,FALSE)-AC59)</f>
        <v>0</v>
      </c>
      <c r="CE59" s="91" t="str">
        <f>IF(AD59="-","-",VLOOKUP($G59,CTBat!$G$10:$AN$89,CE$9,FALSE)-AD59)</f>
        <v>-</v>
      </c>
      <c r="CF59" s="91">
        <f>IF(AE59="-","-",VLOOKUP($G59,CTBat!$G$10:$AN$89,CF$9,FALSE)-AE59)</f>
        <v>0</v>
      </c>
      <c r="CG59" s="91">
        <f>IF(AF59="-","-",VLOOKUP($G59,CTBat!$G$10:$AN$89,CG$9,FALSE)-AF59)</f>
        <v>0</v>
      </c>
      <c r="CH59" s="91">
        <f>IF(AG59="-","-",VLOOKUP($G59,CTBat!$G$10:$AN$89,CH$9,FALSE)-AG59)</f>
        <v>0</v>
      </c>
      <c r="CI59" s="91">
        <f>IF(AH59="-","-",VLOOKUP($G59,CTBat!$G$10:$AN$89,CI$9,FALSE)-AH59)</f>
        <v>0</v>
      </c>
      <c r="CJ59" s="91">
        <f>IF(AI59="-","-",VLOOKUP($G59,CTBat!$G$10:$AN$89,CJ$9,FALSE)-AI59)</f>
        <v>0</v>
      </c>
      <c r="CK59" s="91">
        <f>IF(AJ59="-","-",VLOOKUP($G59,CTBat!$G$10:$AN$89,CK$9,FALSE)-AJ59)</f>
        <v>0</v>
      </c>
      <c r="CL59" s="91" t="str">
        <f>IF(AK59="-","-",VLOOKUP($G59,CTBat!$G$10:$AN$89,CL$9,FALSE)-AK59)</f>
        <v>-</v>
      </c>
      <c r="CM59" s="91">
        <f>IF(AL59="-","-",VLOOKUP($G59,CTBat!$G$10:$AN$89,CM$9,FALSE)-AL59)</f>
        <v>0</v>
      </c>
      <c r="CN59" s="91">
        <f>IF(AM59="-","-",VLOOKUP($G59,CTBat!$G$10:$AN$89,CN$9,FALSE)-AM59)</f>
        <v>0</v>
      </c>
      <c r="CO59" s="91">
        <f>IF(AN59="-","-",VLOOKUP($G59,CTBat!$G$10:$AN$89,CO$9,FALSE)-AN59)</f>
        <v>0</v>
      </c>
      <c r="CP59" s="91">
        <f t="shared" si="78"/>
        <v>0</v>
      </c>
      <c r="CQ59" s="91">
        <f t="shared" si="79"/>
        <v>0</v>
      </c>
      <c r="CR59" s="91">
        <f t="shared" si="80"/>
        <v>0</v>
      </c>
      <c r="CS59" s="91">
        <f t="shared" si="81"/>
        <v>0</v>
      </c>
      <c r="CT59" s="91">
        <f t="shared" si="82"/>
        <v>0</v>
      </c>
    </row>
    <row r="60" spans="1:98">
      <c r="A60" s="91"/>
      <c r="B60" s="91"/>
      <c r="C60" s="91" t="str">
        <f t="shared" si="48"/>
        <v>-</v>
      </c>
      <c r="D60" s="91" t="str">
        <f t="shared" si="49"/>
        <v>-</v>
      </c>
      <c r="E60" s="91" t="str">
        <f t="shared" si="50"/>
        <v>K</v>
      </c>
      <c r="F60" s="91" t="s">
        <v>95</v>
      </c>
      <c r="G60" s="91" t="s">
        <v>52</v>
      </c>
      <c r="H60" s="91" t="s">
        <v>384</v>
      </c>
      <c r="I60" s="91" t="s">
        <v>213</v>
      </c>
      <c r="J60" s="91">
        <v>28</v>
      </c>
      <c r="K60" s="91" t="s">
        <v>107</v>
      </c>
      <c r="L60" s="91" t="s">
        <v>107</v>
      </c>
      <c r="M60" s="91" t="s">
        <v>47</v>
      </c>
      <c r="N60" s="282" t="s">
        <v>47</v>
      </c>
      <c r="O60" s="91" t="s">
        <v>228</v>
      </c>
      <c r="P60" s="282" t="s">
        <v>228</v>
      </c>
      <c r="Q60" s="91">
        <v>5</v>
      </c>
      <c r="R60" s="91">
        <v>5</v>
      </c>
      <c r="S60" s="91">
        <v>5</v>
      </c>
      <c r="T60" s="91">
        <v>5</v>
      </c>
      <c r="U60" s="282">
        <v>6</v>
      </c>
      <c r="V60" s="91">
        <v>5</v>
      </c>
      <c r="W60" s="91">
        <v>5</v>
      </c>
      <c r="X60" s="91">
        <v>5</v>
      </c>
      <c r="Y60" s="91">
        <v>5</v>
      </c>
      <c r="Z60" s="282">
        <v>6</v>
      </c>
      <c r="AA60" s="91">
        <v>4</v>
      </c>
      <c r="AB60" s="91">
        <v>5</v>
      </c>
      <c r="AC60" s="91">
        <v>6</v>
      </c>
      <c r="AD60" s="91">
        <v>7</v>
      </c>
      <c r="AE60" s="91">
        <v>1</v>
      </c>
      <c r="AF60" s="91" t="s">
        <v>41</v>
      </c>
      <c r="AG60" s="91" t="s">
        <v>41</v>
      </c>
      <c r="AH60" s="91" t="s">
        <v>41</v>
      </c>
      <c r="AI60" s="91">
        <v>1</v>
      </c>
      <c r="AJ60" s="91" t="s">
        <v>41</v>
      </c>
      <c r="AK60" s="282" t="s">
        <v>41</v>
      </c>
      <c r="AL60" s="91">
        <v>1</v>
      </c>
      <c r="AM60" s="91">
        <v>1</v>
      </c>
      <c r="AN60" s="282">
        <v>1</v>
      </c>
      <c r="AO60" s="92">
        <v>490000</v>
      </c>
      <c r="AP60" s="282" t="s">
        <v>45</v>
      </c>
      <c r="AQ60" s="93">
        <f t="shared" si="51"/>
        <v>4.5</v>
      </c>
      <c r="AR60" s="94" t="str">
        <f t="shared" si="52"/>
        <v>Bench</v>
      </c>
      <c r="AS60" s="93">
        <f t="shared" si="53"/>
        <v>4.5</v>
      </c>
      <c r="AT60" s="93" t="str">
        <f t="shared" si="54"/>
        <v>Bench</v>
      </c>
      <c r="AU60" s="94">
        <f t="shared" si="55"/>
        <v>4.5</v>
      </c>
      <c r="AV60" s="94" t="str">
        <f t="shared" si="56"/>
        <v>Bench</v>
      </c>
      <c r="AW60" s="95">
        <f t="shared" si="57"/>
        <v>0</v>
      </c>
      <c r="AX60" s="96">
        <f t="shared" si="58"/>
        <v>0</v>
      </c>
      <c r="AY60" s="96">
        <f t="shared" si="59"/>
        <v>0</v>
      </c>
      <c r="AZ60" s="96">
        <f t="shared" si="60"/>
        <v>0</v>
      </c>
      <c r="BA60" s="96">
        <f t="shared" si="61"/>
        <v>0</v>
      </c>
      <c r="BB60" s="96">
        <f t="shared" si="62"/>
        <v>0</v>
      </c>
      <c r="BC60" s="96">
        <f t="shared" si="63"/>
        <v>0</v>
      </c>
      <c r="BD60" s="96">
        <f t="shared" si="64"/>
        <v>0</v>
      </c>
      <c r="BE60" s="282">
        <f t="shared" si="65"/>
        <v>0</v>
      </c>
      <c r="BF60" s="95">
        <f t="shared" si="66"/>
        <v>0</v>
      </c>
      <c r="BG60" s="96">
        <f t="shared" si="67"/>
        <v>0</v>
      </c>
      <c r="BH60" s="96">
        <f t="shared" si="68"/>
        <v>0</v>
      </c>
      <c r="BI60" s="96">
        <f t="shared" si="69"/>
        <v>0</v>
      </c>
      <c r="BJ60" s="96">
        <f t="shared" si="70"/>
        <v>0</v>
      </c>
      <c r="BK60" s="96">
        <f t="shared" si="71"/>
        <v>0</v>
      </c>
      <c r="BL60" s="96">
        <f t="shared" si="72"/>
        <v>0</v>
      </c>
      <c r="BM60" s="96">
        <f t="shared" si="73"/>
        <v>0</v>
      </c>
      <c r="BN60" s="282">
        <f t="shared" si="74"/>
        <v>0</v>
      </c>
      <c r="BO60" s="282">
        <f t="shared" si="75"/>
        <v>0</v>
      </c>
      <c r="BP60" s="97">
        <f t="shared" si="76"/>
        <v>2</v>
      </c>
      <c r="BQ60" s="91" t="str">
        <f t="shared" si="77"/>
        <v/>
      </c>
      <c r="BR60" s="91">
        <f>IF(Q60="-","-",VLOOKUP($G60,CTBat!$G$10:$AN$89,BR$9,FALSE)-Q60)</f>
        <v>0</v>
      </c>
      <c r="BS60" s="91">
        <f>IF(R60="-","-",VLOOKUP($G60,CTBat!$G$10:$AN$89,BS$9,FALSE)-R60)</f>
        <v>0</v>
      </c>
      <c r="BT60" s="91">
        <f>IF(S60="-","-",VLOOKUP($G60,CTBat!$G$10:$AN$89,BT$9,FALSE)-S60)</f>
        <v>0</v>
      </c>
      <c r="BU60" s="91">
        <f>IF(T60="-","-",VLOOKUP($G60,CTBat!$G$10:$AN$89,BU$9,FALSE)-T60)</f>
        <v>0</v>
      </c>
      <c r="BV60" s="91">
        <f>IF(U60="-","-",VLOOKUP($G60,CTBat!$G$10:$AN$89,BV$9,FALSE)-U60)</f>
        <v>0</v>
      </c>
      <c r="BW60" s="91">
        <f>IF(V60="-","-",VLOOKUP($G60,CTBat!$G$10:$AN$89,BW$9,FALSE)-V60)</f>
        <v>0</v>
      </c>
      <c r="BX60" s="91">
        <f>IF(W60="-","-",VLOOKUP($G60,CTBat!$G$10:$AN$89,BX$9,FALSE)-W60)</f>
        <v>0</v>
      </c>
      <c r="BY60" s="91">
        <f>IF(X60="-","-",VLOOKUP($G60,CTBat!$G$10:$AN$89,BY$9,FALSE)-X60)</f>
        <v>0</v>
      </c>
      <c r="BZ60" s="91">
        <f>IF(Y60="-","-",VLOOKUP($G60,CTBat!$G$10:$AN$89,BZ$9,FALSE)-Y60)</f>
        <v>0</v>
      </c>
      <c r="CA60" s="91">
        <f>IF(Z60="-","-",VLOOKUP($G60,CTBat!$G$10:$AN$89,CA$9,FALSE)-Z60)</f>
        <v>0</v>
      </c>
      <c r="CB60" s="91">
        <f>IF(AA60="-","-",VLOOKUP($G60,CTBat!$G$10:$AN$89,CB$9,FALSE)-AA60)</f>
        <v>0</v>
      </c>
      <c r="CC60" s="91">
        <f>IF(AB60="-","-",VLOOKUP($G60,CTBat!$G$10:$AN$89,CC$9,FALSE)-AB60)</f>
        <v>0</v>
      </c>
      <c r="CD60" s="91">
        <f>IF(AC60="-","-",VLOOKUP($G60,CTBat!$G$10:$AN$89,CD$9,FALSE)-AC60)</f>
        <v>0</v>
      </c>
      <c r="CE60" s="91">
        <f>IF(AD60="-","-",VLOOKUP($G60,CTBat!$G$10:$AN$89,CE$9,FALSE)-AD60)</f>
        <v>0</v>
      </c>
      <c r="CF60" s="91">
        <f>IF(AE60="-","-",VLOOKUP($G60,CTBat!$G$10:$AN$89,CF$9,FALSE)-AE60)</f>
        <v>0</v>
      </c>
      <c r="CG60" s="91" t="str">
        <f>IF(AF60="-","-",VLOOKUP($G60,CTBat!$G$10:$AN$89,CG$9,FALSE)-AF60)</f>
        <v>-</v>
      </c>
      <c r="CH60" s="91" t="str">
        <f>IF(AG60="-","-",VLOOKUP($G60,CTBat!$G$10:$AN$89,CH$9,FALSE)-AG60)</f>
        <v>-</v>
      </c>
      <c r="CI60" s="91" t="str">
        <f>IF(AH60="-","-",VLOOKUP($G60,CTBat!$G$10:$AN$89,CI$9,FALSE)-AH60)</f>
        <v>-</v>
      </c>
      <c r="CJ60" s="91">
        <f>IF(AI60="-","-",VLOOKUP($G60,CTBat!$G$10:$AN$89,CJ$9,FALSE)-AI60)</f>
        <v>0</v>
      </c>
      <c r="CK60" s="91" t="str">
        <f>IF(AJ60="-","-",VLOOKUP($G60,CTBat!$G$10:$AN$89,CK$9,FALSE)-AJ60)</f>
        <v>-</v>
      </c>
      <c r="CL60" s="91" t="str">
        <f>IF(AK60="-","-",VLOOKUP($G60,CTBat!$G$10:$AN$89,CL$9,FALSE)-AK60)</f>
        <v>-</v>
      </c>
      <c r="CM60" s="91">
        <f>IF(AL60="-","-",VLOOKUP($G60,CTBat!$G$10:$AN$89,CM$9,FALSE)-AL60)</f>
        <v>0</v>
      </c>
      <c r="CN60" s="91">
        <f>IF(AM60="-","-",VLOOKUP($G60,CTBat!$G$10:$AN$89,CN$9,FALSE)-AM60)</f>
        <v>0</v>
      </c>
      <c r="CO60" s="91">
        <f>IF(AN60="-","-",VLOOKUP($G60,CTBat!$G$10:$AN$89,CO$9,FALSE)-AN60)</f>
        <v>0</v>
      </c>
      <c r="CP60" s="91">
        <f t="shared" si="78"/>
        <v>0</v>
      </c>
      <c r="CQ60" s="91">
        <f t="shared" si="79"/>
        <v>0</v>
      </c>
      <c r="CR60" s="91">
        <f t="shared" si="80"/>
        <v>0</v>
      </c>
      <c r="CS60" s="91">
        <f t="shared" si="81"/>
        <v>0</v>
      </c>
      <c r="CT60" s="91">
        <f t="shared" si="82"/>
        <v>0</v>
      </c>
    </row>
    <row r="61" spans="1:98">
      <c r="C61">
        <f t="shared" si="48"/>
        <v>2</v>
      </c>
      <c r="D61">
        <f t="shared" si="49"/>
        <v>2</v>
      </c>
      <c r="E61" t="str">
        <f t="shared" si="50"/>
        <v>K</v>
      </c>
      <c r="F61" t="s">
        <v>99</v>
      </c>
      <c r="G61" t="s">
        <v>432</v>
      </c>
      <c r="H61" t="s">
        <v>25</v>
      </c>
      <c r="I61" t="s">
        <v>212</v>
      </c>
      <c r="J61">
        <v>28</v>
      </c>
      <c r="K61" t="s">
        <v>107</v>
      </c>
      <c r="L61" t="s">
        <v>107</v>
      </c>
      <c r="M61" t="s">
        <v>47</v>
      </c>
      <c r="N61" s="281" t="s">
        <v>47</v>
      </c>
      <c r="O61" t="s">
        <v>229</v>
      </c>
      <c r="P61" s="281" t="s">
        <v>231</v>
      </c>
      <c r="Q61">
        <v>5</v>
      </c>
      <c r="R61">
        <v>7</v>
      </c>
      <c r="S61">
        <v>2</v>
      </c>
      <c r="T61">
        <v>8</v>
      </c>
      <c r="U61" s="281">
        <v>4</v>
      </c>
      <c r="V61">
        <v>5</v>
      </c>
      <c r="W61">
        <v>7</v>
      </c>
      <c r="X61">
        <v>2</v>
      </c>
      <c r="Y61">
        <v>8</v>
      </c>
      <c r="Z61" s="281">
        <v>4</v>
      </c>
      <c r="AA61">
        <v>4</v>
      </c>
      <c r="AB61">
        <v>2</v>
      </c>
      <c r="AC61">
        <v>1</v>
      </c>
      <c r="AD61" t="s">
        <v>41</v>
      </c>
      <c r="AE61">
        <v>10</v>
      </c>
      <c r="AF61">
        <v>8</v>
      </c>
      <c r="AG61">
        <v>7</v>
      </c>
      <c r="AH61">
        <v>7</v>
      </c>
      <c r="AI61">
        <v>1</v>
      </c>
      <c r="AJ61" t="s">
        <v>41</v>
      </c>
      <c r="AK61" s="281" t="s">
        <v>41</v>
      </c>
      <c r="AL61">
        <v>6</v>
      </c>
      <c r="AM61">
        <v>5</v>
      </c>
      <c r="AN61" s="281">
        <v>5</v>
      </c>
      <c r="AO61" s="85">
        <v>490000</v>
      </c>
      <c r="AP61" s="281" t="s">
        <v>45</v>
      </c>
      <c r="AQ61" s="6">
        <f t="shared" si="51"/>
        <v>4.5</v>
      </c>
      <c r="AR61" s="9" t="str">
        <f t="shared" si="52"/>
        <v>Bench</v>
      </c>
      <c r="AS61" s="6">
        <f t="shared" si="53"/>
        <v>4.5</v>
      </c>
      <c r="AT61" s="6" t="str">
        <f t="shared" si="54"/>
        <v>Bench</v>
      </c>
      <c r="AU61" s="9">
        <f t="shared" si="55"/>
        <v>4.5</v>
      </c>
      <c r="AV61" s="9" t="str">
        <f t="shared" si="56"/>
        <v>Bench</v>
      </c>
      <c r="AW61" s="53">
        <f t="shared" si="57"/>
        <v>0</v>
      </c>
      <c r="AX61" s="280">
        <f t="shared" si="58"/>
        <v>1</v>
      </c>
      <c r="AY61" s="280">
        <f t="shared" si="59"/>
        <v>0</v>
      </c>
      <c r="AZ61" s="280">
        <f t="shared" si="60"/>
        <v>0</v>
      </c>
      <c r="BA61" s="280">
        <f t="shared" si="61"/>
        <v>0</v>
      </c>
      <c r="BB61" s="280">
        <f t="shared" si="62"/>
        <v>0</v>
      </c>
      <c r="BC61" s="280">
        <f t="shared" si="63"/>
        <v>1</v>
      </c>
      <c r="BD61" s="280">
        <f t="shared" si="64"/>
        <v>1</v>
      </c>
      <c r="BE61" s="281">
        <f t="shared" si="65"/>
        <v>1</v>
      </c>
      <c r="BF61" s="53">
        <f t="shared" si="66"/>
        <v>0</v>
      </c>
      <c r="BG61" s="280">
        <f t="shared" si="67"/>
        <v>1</v>
      </c>
      <c r="BH61" s="280">
        <f t="shared" si="68"/>
        <v>0</v>
      </c>
      <c r="BI61" s="280">
        <f t="shared" si="69"/>
        <v>0</v>
      </c>
      <c r="BJ61" s="280">
        <f t="shared" si="70"/>
        <v>0</v>
      </c>
      <c r="BK61" s="280">
        <f t="shared" si="71"/>
        <v>0</v>
      </c>
      <c r="BL61" s="280">
        <f t="shared" si="72"/>
        <v>1</v>
      </c>
      <c r="BM61" s="280">
        <f t="shared" si="73"/>
        <v>1</v>
      </c>
      <c r="BN61" s="281">
        <f t="shared" si="74"/>
        <v>1</v>
      </c>
      <c r="BO61" s="281">
        <f t="shared" si="75"/>
        <v>0</v>
      </c>
      <c r="BP61" s="7">
        <f t="shared" si="76"/>
        <v>2</v>
      </c>
      <c r="BQ61" t="str">
        <f t="shared" si="77"/>
        <v/>
      </c>
      <c r="BR61" s="91">
        <f>IF(Q61="-","-",VLOOKUP($G61,CTBat!$G$10:$AN$89,BR$9,FALSE)-Q61)</f>
        <v>0</v>
      </c>
      <c r="BS61" s="91">
        <f>IF(R61="-","-",VLOOKUP($G61,CTBat!$G$10:$AN$89,BS$9,FALSE)-R61)</f>
        <v>0</v>
      </c>
      <c r="BT61" s="91">
        <f>IF(S61="-","-",VLOOKUP($G61,CTBat!$G$10:$AN$89,BT$9,FALSE)-S61)</f>
        <v>0</v>
      </c>
      <c r="BU61" s="91">
        <f>IF(T61="-","-",VLOOKUP($G61,CTBat!$G$10:$AN$89,BU$9,FALSE)-T61)</f>
        <v>0</v>
      </c>
      <c r="BV61" s="91">
        <f>IF(U61="-","-",VLOOKUP($G61,CTBat!$G$10:$AN$89,BV$9,FALSE)-U61)</f>
        <v>0</v>
      </c>
      <c r="BW61" s="91">
        <f>IF(V61="-","-",VLOOKUP($G61,CTBat!$G$10:$AN$89,BW$9,FALSE)-V61)</f>
        <v>0</v>
      </c>
      <c r="BX61" s="91">
        <f>IF(W61="-","-",VLOOKUP($G61,CTBat!$G$10:$AN$89,BX$9,FALSE)-W61)</f>
        <v>0</v>
      </c>
      <c r="BY61" s="91">
        <f>IF(X61="-","-",VLOOKUP($G61,CTBat!$G$10:$AN$89,BY$9,FALSE)-X61)</f>
        <v>0</v>
      </c>
      <c r="BZ61" s="91">
        <f>IF(Y61="-","-",VLOOKUP($G61,CTBat!$G$10:$AN$89,BZ$9,FALSE)-Y61)</f>
        <v>0</v>
      </c>
      <c r="CA61" s="91">
        <f>IF(Z61="-","-",VLOOKUP($G61,CTBat!$G$10:$AN$89,CA$9,FALSE)-Z61)</f>
        <v>0</v>
      </c>
      <c r="CB61" s="91">
        <f>IF(AA61="-","-",VLOOKUP($G61,CTBat!$G$10:$AN$89,CB$9,FALSE)-AA61)</f>
        <v>0</v>
      </c>
      <c r="CC61" s="91">
        <f>IF(AB61="-","-",VLOOKUP($G61,CTBat!$G$10:$AN$89,CC$9,FALSE)-AB61)</f>
        <v>0</v>
      </c>
      <c r="CD61" s="91">
        <f>IF(AC61="-","-",VLOOKUP($G61,CTBat!$G$10:$AN$89,CD$9,FALSE)-AC61)</f>
        <v>0</v>
      </c>
      <c r="CE61" s="91" t="str">
        <f>IF(AD61="-","-",VLOOKUP($G61,CTBat!$G$10:$AN$89,CE$9,FALSE)-AD61)</f>
        <v>-</v>
      </c>
      <c r="CF61" s="91">
        <f>IF(AE61="-","-",VLOOKUP($G61,CTBat!$G$10:$AN$89,CF$9,FALSE)-AE61)</f>
        <v>0</v>
      </c>
      <c r="CG61" s="91">
        <f>IF(AF61="-","-",VLOOKUP($G61,CTBat!$G$10:$AN$89,CG$9,FALSE)-AF61)</f>
        <v>0</v>
      </c>
      <c r="CH61" s="91">
        <f>IF(AG61="-","-",VLOOKUP($G61,CTBat!$G$10:$AN$89,CH$9,FALSE)-AG61)</f>
        <v>0</v>
      </c>
      <c r="CI61" s="91">
        <f>IF(AH61="-","-",VLOOKUP($G61,CTBat!$G$10:$AN$89,CI$9,FALSE)-AH61)</f>
        <v>0</v>
      </c>
      <c r="CJ61" s="91">
        <f>IF(AI61="-","-",VLOOKUP($G61,CTBat!$G$10:$AN$89,CJ$9,FALSE)-AI61)</f>
        <v>0</v>
      </c>
      <c r="CK61" s="91" t="str">
        <f>IF(AJ61="-","-",VLOOKUP($G61,CTBat!$G$10:$AN$89,CK$9,FALSE)-AJ61)</f>
        <v>-</v>
      </c>
      <c r="CL61" s="91" t="str">
        <f>IF(AK61="-","-",VLOOKUP($G61,CTBat!$G$10:$AN$89,CL$9,FALSE)-AK61)</f>
        <v>-</v>
      </c>
      <c r="CM61" s="91">
        <f>IF(AL61="-","-",VLOOKUP($G61,CTBat!$G$10:$AN$89,CM$9,FALSE)-AL61)</f>
        <v>0</v>
      </c>
      <c r="CN61" s="91">
        <f>IF(AM61="-","-",VLOOKUP($G61,CTBat!$G$10:$AN$89,CN$9,FALSE)-AM61)</f>
        <v>0</v>
      </c>
      <c r="CO61" s="91">
        <f>IF(AN61="-","-",VLOOKUP($G61,CTBat!$G$10:$AN$89,CO$9,FALSE)-AN61)</f>
        <v>0</v>
      </c>
      <c r="CP61" s="91">
        <f t="shared" si="78"/>
        <v>0</v>
      </c>
      <c r="CQ61" s="91">
        <f t="shared" si="79"/>
        <v>0</v>
      </c>
      <c r="CR61" s="91">
        <f t="shared" si="80"/>
        <v>0</v>
      </c>
      <c r="CS61" s="91">
        <f t="shared" si="81"/>
        <v>0</v>
      </c>
      <c r="CT61" s="91">
        <f t="shared" si="82"/>
        <v>0</v>
      </c>
    </row>
    <row r="62" spans="1:98">
      <c r="C62" t="str">
        <f t="shared" si="48"/>
        <v>-</v>
      </c>
      <c r="D62" t="str">
        <f t="shared" si="49"/>
        <v>-</v>
      </c>
      <c r="E62" t="str">
        <f t="shared" si="50"/>
        <v>K</v>
      </c>
      <c r="F62" t="s">
        <v>103</v>
      </c>
      <c r="G62" t="s">
        <v>250</v>
      </c>
      <c r="H62" t="s">
        <v>385</v>
      </c>
      <c r="I62" t="s">
        <v>214</v>
      </c>
      <c r="J62">
        <v>25</v>
      </c>
      <c r="K62" t="s">
        <v>107</v>
      </c>
      <c r="L62" t="s">
        <v>107</v>
      </c>
      <c r="M62" t="s">
        <v>47</v>
      </c>
      <c r="N62" s="3" t="s">
        <v>47</v>
      </c>
      <c r="O62" t="s">
        <v>228</v>
      </c>
      <c r="P62" s="3" t="s">
        <v>229</v>
      </c>
      <c r="Q62">
        <v>5</v>
      </c>
      <c r="R62">
        <v>5</v>
      </c>
      <c r="S62">
        <v>4</v>
      </c>
      <c r="T62">
        <v>5</v>
      </c>
      <c r="U62" s="3">
        <v>5</v>
      </c>
      <c r="V62">
        <v>5</v>
      </c>
      <c r="W62">
        <v>5</v>
      </c>
      <c r="X62">
        <v>4</v>
      </c>
      <c r="Y62">
        <v>6</v>
      </c>
      <c r="Z62" s="3">
        <v>5</v>
      </c>
      <c r="AA62">
        <v>1</v>
      </c>
      <c r="AB62">
        <v>9</v>
      </c>
      <c r="AC62">
        <v>1</v>
      </c>
      <c r="AD62" t="s">
        <v>41</v>
      </c>
      <c r="AE62" t="s">
        <v>41</v>
      </c>
      <c r="AF62" t="s">
        <v>41</v>
      </c>
      <c r="AG62" t="s">
        <v>41</v>
      </c>
      <c r="AH62" t="s">
        <v>41</v>
      </c>
      <c r="AI62">
        <v>9</v>
      </c>
      <c r="AJ62">
        <v>3</v>
      </c>
      <c r="AK62" s="3">
        <v>8</v>
      </c>
      <c r="AL62">
        <v>5</v>
      </c>
      <c r="AM62">
        <v>6</v>
      </c>
      <c r="AN62" s="3">
        <v>4</v>
      </c>
      <c r="AO62" s="85" t="s">
        <v>41</v>
      </c>
      <c r="AP62" s="3">
        <v>0</v>
      </c>
      <c r="AQ62" s="6">
        <f t="shared" si="51"/>
        <v>4.166666666666667</v>
      </c>
      <c r="AR62" s="9" t="str">
        <f t="shared" si="52"/>
        <v>Bench</v>
      </c>
      <c r="AS62" s="6">
        <f t="shared" si="53"/>
        <v>4.5</v>
      </c>
      <c r="AT62" s="6" t="str">
        <f t="shared" si="54"/>
        <v>Bench</v>
      </c>
      <c r="AU62" s="9">
        <f t="shared" si="55"/>
        <v>4.166666666666667</v>
      </c>
      <c r="AV62" s="9" t="str">
        <f t="shared" si="56"/>
        <v>Bench</v>
      </c>
      <c r="AW62" s="53">
        <f t="shared" si="57"/>
        <v>0</v>
      </c>
      <c r="AX62" s="5">
        <f t="shared" si="58"/>
        <v>0</v>
      </c>
      <c r="AY62" s="5">
        <f t="shared" si="59"/>
        <v>0</v>
      </c>
      <c r="AZ62" s="5">
        <f t="shared" si="60"/>
        <v>0</v>
      </c>
      <c r="BA62" s="5">
        <f t="shared" si="61"/>
        <v>0</v>
      </c>
      <c r="BB62" s="5">
        <f t="shared" si="62"/>
        <v>0</v>
      </c>
      <c r="BC62" s="5">
        <f t="shared" si="63"/>
        <v>0</v>
      </c>
      <c r="BD62" s="5">
        <f t="shared" si="64"/>
        <v>0</v>
      </c>
      <c r="BE62" s="3">
        <f t="shared" si="65"/>
        <v>0</v>
      </c>
      <c r="BF62" s="53">
        <f t="shared" si="66"/>
        <v>0</v>
      </c>
      <c r="BG62" s="5">
        <f t="shared" si="67"/>
        <v>0</v>
      </c>
      <c r="BH62" s="5">
        <f t="shared" si="68"/>
        <v>0</v>
      </c>
      <c r="BI62" s="5">
        <f t="shared" si="69"/>
        <v>0</v>
      </c>
      <c r="BJ62" s="5">
        <f t="shared" si="70"/>
        <v>0</v>
      </c>
      <c r="BK62" s="5">
        <f t="shared" si="71"/>
        <v>0</v>
      </c>
      <c r="BL62" s="5">
        <f t="shared" si="72"/>
        <v>0</v>
      </c>
      <c r="BM62" s="5">
        <f t="shared" si="73"/>
        <v>0</v>
      </c>
      <c r="BN62" s="3">
        <f t="shared" si="74"/>
        <v>0</v>
      </c>
      <c r="BO62" s="3">
        <f t="shared" si="75"/>
        <v>0</v>
      </c>
      <c r="BP62" s="7">
        <f t="shared" si="76"/>
        <v>2</v>
      </c>
      <c r="BQ62" t="str">
        <f t="shared" si="77"/>
        <v/>
      </c>
      <c r="BR62" s="91">
        <f>IF(Q62="-","-",VLOOKUP($G62,CTBat!$G$10:$AN$89,BR$9,FALSE)-Q62)</f>
        <v>0</v>
      </c>
      <c r="BS62" s="91">
        <f>IF(R62="-","-",VLOOKUP($G62,CTBat!$G$10:$AN$89,BS$9,FALSE)-R62)</f>
        <v>0</v>
      </c>
      <c r="BT62" s="91">
        <f>IF(S62="-","-",VLOOKUP($G62,CTBat!$G$10:$AN$89,BT$9,FALSE)-S62)</f>
        <v>0</v>
      </c>
      <c r="BU62" s="91">
        <f>IF(T62="-","-",VLOOKUP($G62,CTBat!$G$10:$AN$89,BU$9,FALSE)-T62)</f>
        <v>0</v>
      </c>
      <c r="BV62" s="91">
        <f>IF(U62="-","-",VLOOKUP($G62,CTBat!$G$10:$AN$89,BV$9,FALSE)-U62)</f>
        <v>0</v>
      </c>
      <c r="BW62" s="91">
        <f>IF(V62="-","-",VLOOKUP($G62,CTBat!$G$10:$AN$89,BW$9,FALSE)-V62)</f>
        <v>0</v>
      </c>
      <c r="BX62" s="91">
        <f>IF(W62="-","-",VLOOKUP($G62,CTBat!$G$10:$AN$89,BX$9,FALSE)-W62)</f>
        <v>0</v>
      </c>
      <c r="BY62" s="91">
        <f>IF(X62="-","-",VLOOKUP($G62,CTBat!$G$10:$AN$89,BY$9,FALSE)-X62)</f>
        <v>0</v>
      </c>
      <c r="BZ62" s="91">
        <f>IF(Y62="-","-",VLOOKUP($G62,CTBat!$G$10:$AN$89,BZ$9,FALSE)-Y62)</f>
        <v>0</v>
      </c>
      <c r="CA62" s="91">
        <f>IF(Z62="-","-",VLOOKUP($G62,CTBat!$G$10:$AN$89,CA$9,FALSE)-Z62)</f>
        <v>0</v>
      </c>
      <c r="CB62" s="91">
        <f>IF(AA62="-","-",VLOOKUP($G62,CTBat!$G$10:$AN$89,CB$9,FALSE)-AA62)</f>
        <v>0</v>
      </c>
      <c r="CC62" s="91">
        <f>IF(AB62="-","-",VLOOKUP($G62,CTBat!$G$10:$AN$89,CC$9,FALSE)-AB62)</f>
        <v>0</v>
      </c>
      <c r="CD62" s="91">
        <f>IF(AC62="-","-",VLOOKUP($G62,CTBat!$G$10:$AN$89,CD$9,FALSE)-AC62)</f>
        <v>0</v>
      </c>
      <c r="CE62" s="91" t="str">
        <f>IF(AD62="-","-",VLOOKUP($G62,CTBat!$G$10:$AN$89,CE$9,FALSE)-AD62)</f>
        <v>-</v>
      </c>
      <c r="CF62" s="91" t="str">
        <f>IF(AE62="-","-",VLOOKUP($G62,CTBat!$G$10:$AN$89,CF$9,FALSE)-AE62)</f>
        <v>-</v>
      </c>
      <c r="CG62" s="91" t="str">
        <f>IF(AF62="-","-",VLOOKUP($G62,CTBat!$G$10:$AN$89,CG$9,FALSE)-AF62)</f>
        <v>-</v>
      </c>
      <c r="CH62" s="91" t="str">
        <f>IF(AG62="-","-",VLOOKUP($G62,CTBat!$G$10:$AN$89,CH$9,FALSE)-AG62)</f>
        <v>-</v>
      </c>
      <c r="CI62" s="91" t="str">
        <f>IF(AH62="-","-",VLOOKUP($G62,CTBat!$G$10:$AN$89,CI$9,FALSE)-AH62)</f>
        <v>-</v>
      </c>
      <c r="CJ62" s="91">
        <f>IF(AI62="-","-",VLOOKUP($G62,CTBat!$G$10:$AN$89,CJ$9,FALSE)-AI62)</f>
        <v>0</v>
      </c>
      <c r="CK62" s="91">
        <f>IF(AJ62="-","-",VLOOKUP($G62,CTBat!$G$10:$AN$89,CK$9,FALSE)-AJ62)</f>
        <v>0</v>
      </c>
      <c r="CL62" s="91">
        <f>IF(AK62="-","-",VLOOKUP($G62,CTBat!$G$10:$AN$89,CL$9,FALSE)-AK62)</f>
        <v>0</v>
      </c>
      <c r="CM62" s="91">
        <f>IF(AL62="-","-",VLOOKUP($G62,CTBat!$G$10:$AN$89,CM$9,FALSE)-AL62)</f>
        <v>0</v>
      </c>
      <c r="CN62" s="91">
        <f>IF(AM62="-","-",VLOOKUP($G62,CTBat!$G$10:$AN$89,CN$9,FALSE)-AM62)</f>
        <v>0</v>
      </c>
      <c r="CO62" s="91">
        <f>IF(AN62="-","-",VLOOKUP($G62,CTBat!$G$10:$AN$89,CO$9,FALSE)-AN62)</f>
        <v>0</v>
      </c>
      <c r="CP62" s="91">
        <f t="shared" si="78"/>
        <v>0</v>
      </c>
      <c r="CQ62" s="91">
        <f t="shared" si="79"/>
        <v>0</v>
      </c>
      <c r="CR62" s="91">
        <f t="shared" si="80"/>
        <v>0</v>
      </c>
      <c r="CS62" s="91">
        <f t="shared" si="81"/>
        <v>0</v>
      </c>
      <c r="CT62" s="91">
        <f t="shared" si="82"/>
        <v>0</v>
      </c>
    </row>
    <row r="63" spans="1:98">
      <c r="C63" t="str">
        <f t="shared" si="48"/>
        <v>-</v>
      </c>
      <c r="D63" t="str">
        <f t="shared" si="49"/>
        <v>-</v>
      </c>
      <c r="E63" t="str">
        <f t="shared" si="50"/>
        <v>K</v>
      </c>
      <c r="F63" t="s">
        <v>103</v>
      </c>
      <c r="G63" t="s">
        <v>502</v>
      </c>
      <c r="H63" t="s">
        <v>386</v>
      </c>
      <c r="I63" t="s">
        <v>215</v>
      </c>
      <c r="J63">
        <v>22</v>
      </c>
      <c r="K63" t="s">
        <v>107</v>
      </c>
      <c r="L63" t="s">
        <v>107</v>
      </c>
      <c r="M63" t="s">
        <v>47</v>
      </c>
      <c r="N63" s="3" t="s">
        <v>47</v>
      </c>
      <c r="O63" t="s">
        <v>230</v>
      </c>
      <c r="P63" s="3" t="s">
        <v>230</v>
      </c>
      <c r="Q63">
        <v>4</v>
      </c>
      <c r="R63">
        <v>3</v>
      </c>
      <c r="S63">
        <v>2</v>
      </c>
      <c r="T63">
        <v>2</v>
      </c>
      <c r="U63" s="3">
        <v>2</v>
      </c>
      <c r="V63">
        <v>5</v>
      </c>
      <c r="W63">
        <v>4</v>
      </c>
      <c r="X63">
        <v>6</v>
      </c>
      <c r="Y63">
        <v>4</v>
      </c>
      <c r="Z63" s="3">
        <v>4</v>
      </c>
      <c r="AA63">
        <v>1</v>
      </c>
      <c r="AB63">
        <v>7</v>
      </c>
      <c r="AC63">
        <v>1</v>
      </c>
      <c r="AD63" t="s">
        <v>41</v>
      </c>
      <c r="AE63">
        <v>1</v>
      </c>
      <c r="AF63" t="s">
        <v>41</v>
      </c>
      <c r="AG63" t="s">
        <v>41</v>
      </c>
      <c r="AH63" t="s">
        <v>41</v>
      </c>
      <c r="AI63">
        <v>3</v>
      </c>
      <c r="AJ63" t="s">
        <v>41</v>
      </c>
      <c r="AK63" s="3">
        <v>3</v>
      </c>
      <c r="AL63">
        <v>4</v>
      </c>
      <c r="AM63">
        <v>6</v>
      </c>
      <c r="AN63" s="3">
        <v>5</v>
      </c>
      <c r="AO63" s="85" t="s">
        <v>41</v>
      </c>
      <c r="AP63" s="3">
        <v>0</v>
      </c>
      <c r="AQ63" s="6">
        <f t="shared" si="51"/>
        <v>1.6666666666666665</v>
      </c>
      <c r="AR63" s="9" t="str">
        <f t="shared" si="52"/>
        <v>Minors</v>
      </c>
      <c r="AS63" s="6">
        <f t="shared" si="53"/>
        <v>4.5</v>
      </c>
      <c r="AT63" s="6" t="str">
        <f t="shared" si="54"/>
        <v>Bench</v>
      </c>
      <c r="AU63" s="9">
        <f t="shared" si="55"/>
        <v>4.5</v>
      </c>
      <c r="AV63" s="9" t="str">
        <f t="shared" si="56"/>
        <v>Bench</v>
      </c>
      <c r="AW63" s="53">
        <f t="shared" si="57"/>
        <v>0</v>
      </c>
      <c r="AX63" s="5">
        <f t="shared" si="58"/>
        <v>0</v>
      </c>
      <c r="AY63" s="5">
        <f t="shared" si="59"/>
        <v>0</v>
      </c>
      <c r="AZ63" s="5">
        <f t="shared" si="60"/>
        <v>0</v>
      </c>
      <c r="BA63" s="5">
        <f t="shared" si="61"/>
        <v>0</v>
      </c>
      <c r="BB63" s="5">
        <f t="shared" si="62"/>
        <v>0</v>
      </c>
      <c r="BC63" s="5">
        <f t="shared" si="63"/>
        <v>0</v>
      </c>
      <c r="BD63" s="5">
        <f t="shared" si="64"/>
        <v>0</v>
      </c>
      <c r="BE63" s="3">
        <f t="shared" si="65"/>
        <v>0</v>
      </c>
      <c r="BF63" s="53">
        <f t="shared" si="66"/>
        <v>0</v>
      </c>
      <c r="BG63" s="5">
        <f t="shared" si="67"/>
        <v>0</v>
      </c>
      <c r="BH63" s="5">
        <f t="shared" si="68"/>
        <v>0</v>
      </c>
      <c r="BI63" s="5">
        <f t="shared" si="69"/>
        <v>0</v>
      </c>
      <c r="BJ63" s="5">
        <f t="shared" si="70"/>
        <v>0</v>
      </c>
      <c r="BK63" s="5">
        <f t="shared" si="71"/>
        <v>0</v>
      </c>
      <c r="BL63" s="5">
        <f t="shared" si="72"/>
        <v>0</v>
      </c>
      <c r="BM63" s="5">
        <f t="shared" si="73"/>
        <v>0</v>
      </c>
      <c r="BN63" s="3">
        <f t="shared" si="74"/>
        <v>0</v>
      </c>
      <c r="BO63" s="3">
        <f t="shared" si="75"/>
        <v>0</v>
      </c>
      <c r="BP63" s="7">
        <f t="shared" si="76"/>
        <v>0</v>
      </c>
      <c r="BQ63" t="str">
        <f t="shared" si="77"/>
        <v/>
      </c>
      <c r="BR63" s="91">
        <f>IF(Q63="-","-",VLOOKUP($G63,CTBat!$G$10:$AN$89,BR$9,FALSE)-Q63)</f>
        <v>0</v>
      </c>
      <c r="BS63" s="91">
        <f>IF(R63="-","-",VLOOKUP($G63,CTBat!$G$10:$AN$89,BS$9,FALSE)-R63)</f>
        <v>0</v>
      </c>
      <c r="BT63" s="91">
        <f>IF(S63="-","-",VLOOKUP($G63,CTBat!$G$10:$AN$89,BT$9,FALSE)-S63)</f>
        <v>0</v>
      </c>
      <c r="BU63" s="91">
        <f>IF(T63="-","-",VLOOKUP($G63,CTBat!$G$10:$AN$89,BU$9,FALSE)-T63)</f>
        <v>0</v>
      </c>
      <c r="BV63" s="91">
        <f>IF(U63="-","-",VLOOKUP($G63,CTBat!$G$10:$AN$89,BV$9,FALSE)-U63)</f>
        <v>0</v>
      </c>
      <c r="BW63" s="91">
        <f>IF(V63="-","-",VLOOKUP($G63,CTBat!$G$10:$AN$89,BW$9,FALSE)-V63)</f>
        <v>0</v>
      </c>
      <c r="BX63" s="91">
        <f>IF(W63="-","-",VLOOKUP($G63,CTBat!$G$10:$AN$89,BX$9,FALSE)-W63)</f>
        <v>0</v>
      </c>
      <c r="BY63" s="91">
        <f>IF(X63="-","-",VLOOKUP($G63,CTBat!$G$10:$AN$89,BY$9,FALSE)-X63)</f>
        <v>0</v>
      </c>
      <c r="BZ63" s="91">
        <f>IF(Y63="-","-",VLOOKUP($G63,CTBat!$G$10:$AN$89,BZ$9,FALSE)-Y63)</f>
        <v>0</v>
      </c>
      <c r="CA63" s="91">
        <f>IF(Z63="-","-",VLOOKUP($G63,CTBat!$G$10:$AN$89,CA$9,FALSE)-Z63)</f>
        <v>0</v>
      </c>
      <c r="CB63" s="91">
        <f>IF(AA63="-","-",VLOOKUP($G63,CTBat!$G$10:$AN$89,CB$9,FALSE)-AA63)</f>
        <v>0</v>
      </c>
      <c r="CC63" s="91">
        <f>IF(AB63="-","-",VLOOKUP($G63,CTBat!$G$10:$AN$89,CC$9,FALSE)-AB63)</f>
        <v>0</v>
      </c>
      <c r="CD63" s="91">
        <f>IF(AC63="-","-",VLOOKUP($G63,CTBat!$G$10:$AN$89,CD$9,FALSE)-AC63)</f>
        <v>0</v>
      </c>
      <c r="CE63" s="91" t="str">
        <f>IF(AD63="-","-",VLOOKUP($G63,CTBat!$G$10:$AN$89,CE$9,FALSE)-AD63)</f>
        <v>-</v>
      </c>
      <c r="CF63" s="91">
        <f>IF(AE63="-","-",VLOOKUP($G63,CTBat!$G$10:$AN$89,CF$9,FALSE)-AE63)</f>
        <v>0</v>
      </c>
      <c r="CG63" s="91" t="str">
        <f>IF(AF63="-","-",VLOOKUP($G63,CTBat!$G$10:$AN$89,CG$9,FALSE)-AF63)</f>
        <v>-</v>
      </c>
      <c r="CH63" s="91" t="str">
        <f>IF(AG63="-","-",VLOOKUP($G63,CTBat!$G$10:$AN$89,CH$9,FALSE)-AG63)</f>
        <v>-</v>
      </c>
      <c r="CI63" s="91" t="str">
        <f>IF(AH63="-","-",VLOOKUP($G63,CTBat!$G$10:$AN$89,CI$9,FALSE)-AH63)</f>
        <v>-</v>
      </c>
      <c r="CJ63" s="91">
        <f>IF(AI63="-","-",VLOOKUP($G63,CTBat!$G$10:$AN$89,CJ$9,FALSE)-AI63)</f>
        <v>0</v>
      </c>
      <c r="CK63" s="91" t="str">
        <f>IF(AJ63="-","-",VLOOKUP($G63,CTBat!$G$10:$AN$89,CK$9,FALSE)-AJ63)</f>
        <v>-</v>
      </c>
      <c r="CL63" s="91">
        <f>IF(AK63="-","-",VLOOKUP($G63,CTBat!$G$10:$AN$89,CL$9,FALSE)-AK63)</f>
        <v>0</v>
      </c>
      <c r="CM63" s="91">
        <f>IF(AL63="-","-",VLOOKUP($G63,CTBat!$G$10:$AN$89,CM$9,FALSE)-AL63)</f>
        <v>0</v>
      </c>
      <c r="CN63" s="91">
        <f>IF(AM63="-","-",VLOOKUP($G63,CTBat!$G$10:$AN$89,CN$9,FALSE)-AM63)</f>
        <v>0</v>
      </c>
      <c r="CO63" s="91">
        <f>IF(AN63="-","-",VLOOKUP($G63,CTBat!$G$10:$AN$89,CO$9,FALSE)-AN63)</f>
        <v>0</v>
      </c>
      <c r="CP63" s="91">
        <f t="shared" si="78"/>
        <v>0</v>
      </c>
      <c r="CQ63" s="91">
        <f t="shared" si="79"/>
        <v>0</v>
      </c>
      <c r="CR63" s="91">
        <f t="shared" si="80"/>
        <v>0</v>
      </c>
      <c r="CS63" s="91">
        <f t="shared" si="81"/>
        <v>0</v>
      </c>
      <c r="CT63" s="91">
        <f t="shared" si="82"/>
        <v>0</v>
      </c>
    </row>
    <row r="64" spans="1:98">
      <c r="C64">
        <f t="shared" si="48"/>
        <v>2</v>
      </c>
      <c r="D64">
        <f t="shared" si="49"/>
        <v>2</v>
      </c>
      <c r="E64" t="str">
        <f t="shared" si="50"/>
        <v>K</v>
      </c>
      <c r="F64" t="s">
        <v>103</v>
      </c>
      <c r="G64" t="s">
        <v>566</v>
      </c>
      <c r="H64" t="s">
        <v>385</v>
      </c>
      <c r="I64" t="s">
        <v>214</v>
      </c>
      <c r="J64">
        <v>30</v>
      </c>
      <c r="K64" t="s">
        <v>106</v>
      </c>
      <c r="L64" t="s">
        <v>106</v>
      </c>
      <c r="M64" t="s">
        <v>47</v>
      </c>
      <c r="N64" s="242" t="s">
        <v>47</v>
      </c>
      <c r="O64" t="s">
        <v>229</v>
      </c>
      <c r="P64" s="242" t="s">
        <v>229</v>
      </c>
      <c r="Q64">
        <v>7</v>
      </c>
      <c r="R64">
        <v>5</v>
      </c>
      <c r="S64">
        <v>1</v>
      </c>
      <c r="T64">
        <v>5</v>
      </c>
      <c r="U64" s="242">
        <v>10</v>
      </c>
      <c r="V64">
        <v>7</v>
      </c>
      <c r="W64">
        <v>5</v>
      </c>
      <c r="X64">
        <v>1</v>
      </c>
      <c r="Y64">
        <v>5</v>
      </c>
      <c r="Z64" s="242">
        <v>10</v>
      </c>
      <c r="AA64">
        <v>1</v>
      </c>
      <c r="AB64">
        <v>5</v>
      </c>
      <c r="AC64">
        <v>1</v>
      </c>
      <c r="AD64" t="s">
        <v>41</v>
      </c>
      <c r="AE64" t="s">
        <v>41</v>
      </c>
      <c r="AF64" t="s">
        <v>41</v>
      </c>
      <c r="AG64" t="s">
        <v>41</v>
      </c>
      <c r="AH64" t="s">
        <v>41</v>
      </c>
      <c r="AI64">
        <v>7</v>
      </c>
      <c r="AJ64">
        <v>8</v>
      </c>
      <c r="AK64" s="242">
        <v>10</v>
      </c>
      <c r="AL64">
        <v>9</v>
      </c>
      <c r="AM64">
        <v>10</v>
      </c>
      <c r="AN64" s="242">
        <v>10</v>
      </c>
      <c r="AO64" s="85" t="s">
        <v>41</v>
      </c>
      <c r="AP64" s="242">
        <v>0</v>
      </c>
      <c r="AQ64" s="6">
        <f t="shared" si="51"/>
        <v>4.333333333333333</v>
      </c>
      <c r="AR64" s="9" t="str">
        <f t="shared" si="52"/>
        <v>Bench</v>
      </c>
      <c r="AS64" s="6">
        <f t="shared" si="53"/>
        <v>4.333333333333333</v>
      </c>
      <c r="AT64" s="6" t="str">
        <f t="shared" si="54"/>
        <v>Bench</v>
      </c>
      <c r="AU64" s="9">
        <f t="shared" si="55"/>
        <v>4.333333333333333</v>
      </c>
      <c r="AV64" s="9" t="str">
        <f t="shared" si="56"/>
        <v>Bench</v>
      </c>
      <c r="AW64" s="53">
        <f t="shared" si="57"/>
        <v>0</v>
      </c>
      <c r="AX64" s="241">
        <f t="shared" si="58"/>
        <v>1</v>
      </c>
      <c r="AY64" s="241">
        <f t="shared" si="59"/>
        <v>0</v>
      </c>
      <c r="AZ64" s="241">
        <f t="shared" si="60"/>
        <v>0</v>
      </c>
      <c r="BA64" s="241">
        <f t="shared" si="61"/>
        <v>0</v>
      </c>
      <c r="BB64" s="241">
        <f t="shared" si="62"/>
        <v>1</v>
      </c>
      <c r="BC64" s="241">
        <f t="shared" si="63"/>
        <v>1</v>
      </c>
      <c r="BD64" s="241">
        <f t="shared" si="64"/>
        <v>1</v>
      </c>
      <c r="BE64" s="242">
        <f t="shared" si="65"/>
        <v>1</v>
      </c>
      <c r="BF64" s="53">
        <f t="shared" si="66"/>
        <v>0</v>
      </c>
      <c r="BG64" s="241">
        <f t="shared" si="67"/>
        <v>1</v>
      </c>
      <c r="BH64" s="241">
        <f t="shared" si="68"/>
        <v>0</v>
      </c>
      <c r="BI64" s="241">
        <f t="shared" si="69"/>
        <v>0</v>
      </c>
      <c r="BJ64" s="241">
        <f t="shared" si="70"/>
        <v>0</v>
      </c>
      <c r="BK64" s="241">
        <f t="shared" si="71"/>
        <v>1</v>
      </c>
      <c r="BL64" s="241">
        <f t="shared" si="72"/>
        <v>1</v>
      </c>
      <c r="BM64" s="241">
        <f t="shared" si="73"/>
        <v>1</v>
      </c>
      <c r="BN64" s="242">
        <f t="shared" si="74"/>
        <v>1</v>
      </c>
      <c r="BO64" s="242">
        <f t="shared" si="75"/>
        <v>6</v>
      </c>
      <c r="BP64" s="7">
        <f t="shared" si="76"/>
        <v>2</v>
      </c>
      <c r="BQ64" t="str">
        <f t="shared" si="77"/>
        <v/>
      </c>
      <c r="BR64" s="91">
        <f>IF(Q64="-","-",VLOOKUP($G64,CTBat!$G$10:$AN$89,BR$9,FALSE)-Q64)</f>
        <v>0</v>
      </c>
      <c r="BS64" s="91">
        <f>IF(R64="-","-",VLOOKUP($G64,CTBat!$G$10:$AN$89,BS$9,FALSE)-R64)</f>
        <v>0</v>
      </c>
      <c r="BT64" s="91">
        <f>IF(S64="-","-",VLOOKUP($G64,CTBat!$G$10:$AN$89,BT$9,FALSE)-S64)</f>
        <v>0</v>
      </c>
      <c r="BU64" s="91">
        <f>IF(T64="-","-",VLOOKUP($G64,CTBat!$G$10:$AN$89,BU$9,FALSE)-T64)</f>
        <v>0</v>
      </c>
      <c r="BV64" s="91">
        <f>IF(U64="-","-",VLOOKUP($G64,CTBat!$G$10:$AN$89,BV$9,FALSE)-U64)</f>
        <v>0</v>
      </c>
      <c r="BW64" s="91">
        <f>IF(V64="-","-",VLOOKUP($G64,CTBat!$G$10:$AN$89,BW$9,FALSE)-V64)</f>
        <v>0</v>
      </c>
      <c r="BX64" s="91">
        <f>IF(W64="-","-",VLOOKUP($G64,CTBat!$G$10:$AN$89,BX$9,FALSE)-W64)</f>
        <v>0</v>
      </c>
      <c r="BY64" s="91">
        <f>IF(X64="-","-",VLOOKUP($G64,CTBat!$G$10:$AN$89,BY$9,FALSE)-X64)</f>
        <v>0</v>
      </c>
      <c r="BZ64" s="91">
        <f>IF(Y64="-","-",VLOOKUP($G64,CTBat!$G$10:$AN$89,BZ$9,FALSE)-Y64)</f>
        <v>0</v>
      </c>
      <c r="CA64" s="91">
        <f>IF(Z64="-","-",VLOOKUP($G64,CTBat!$G$10:$AN$89,CA$9,FALSE)-Z64)</f>
        <v>0</v>
      </c>
      <c r="CB64" s="91">
        <f>IF(AA64="-","-",VLOOKUP($G64,CTBat!$G$10:$AN$89,CB$9,FALSE)-AA64)</f>
        <v>0</v>
      </c>
      <c r="CC64" s="91">
        <f>IF(AB64="-","-",VLOOKUP($G64,CTBat!$G$10:$AN$89,CC$9,FALSE)-AB64)</f>
        <v>0</v>
      </c>
      <c r="CD64" s="91">
        <f>IF(AC64="-","-",VLOOKUP($G64,CTBat!$G$10:$AN$89,CD$9,FALSE)-AC64)</f>
        <v>0</v>
      </c>
      <c r="CE64" s="91" t="str">
        <f>IF(AD64="-","-",VLOOKUP($G64,CTBat!$G$10:$AN$89,CE$9,FALSE)-AD64)</f>
        <v>-</v>
      </c>
      <c r="CF64" s="91" t="str">
        <f>IF(AE64="-","-",VLOOKUP($G64,CTBat!$G$10:$AN$89,CF$9,FALSE)-AE64)</f>
        <v>-</v>
      </c>
      <c r="CG64" s="91" t="str">
        <f>IF(AF64="-","-",VLOOKUP($G64,CTBat!$G$10:$AN$89,CG$9,FALSE)-AF64)</f>
        <v>-</v>
      </c>
      <c r="CH64" s="91" t="str">
        <f>IF(AG64="-","-",VLOOKUP($G64,CTBat!$G$10:$AN$89,CH$9,FALSE)-AG64)</f>
        <v>-</v>
      </c>
      <c r="CI64" s="91" t="str">
        <f>IF(AH64="-","-",VLOOKUP($G64,CTBat!$G$10:$AN$89,CI$9,FALSE)-AH64)</f>
        <v>-</v>
      </c>
      <c r="CJ64" s="91">
        <f>IF(AI64="-","-",VLOOKUP($G64,CTBat!$G$10:$AN$89,CJ$9,FALSE)-AI64)</f>
        <v>0</v>
      </c>
      <c r="CK64" s="91">
        <f>IF(AJ64="-","-",VLOOKUP($G64,CTBat!$G$10:$AN$89,CK$9,FALSE)-AJ64)</f>
        <v>0</v>
      </c>
      <c r="CL64" s="91">
        <f>IF(AK64="-","-",VLOOKUP($G64,CTBat!$G$10:$AN$89,CL$9,FALSE)-AK64)</f>
        <v>0</v>
      </c>
      <c r="CM64" s="91">
        <f>IF(AL64="-","-",VLOOKUP($G64,CTBat!$G$10:$AN$89,CM$9,FALSE)-AL64)</f>
        <v>0</v>
      </c>
      <c r="CN64" s="91">
        <f>IF(AM64="-","-",VLOOKUP($G64,CTBat!$G$10:$AN$89,CN$9,FALSE)-AM64)</f>
        <v>0</v>
      </c>
      <c r="CO64" s="91">
        <f>IF(AN64="-","-",VLOOKUP($G64,CTBat!$G$10:$AN$89,CO$9,FALSE)-AN64)</f>
        <v>0</v>
      </c>
      <c r="CP64" s="91">
        <f t="shared" si="78"/>
        <v>0</v>
      </c>
      <c r="CQ64" s="91">
        <f t="shared" si="79"/>
        <v>0</v>
      </c>
      <c r="CR64" s="91">
        <f t="shared" si="80"/>
        <v>0</v>
      </c>
      <c r="CS64" s="91">
        <f t="shared" si="81"/>
        <v>0</v>
      </c>
      <c r="CT64" s="91">
        <f t="shared" si="82"/>
        <v>0</v>
      </c>
    </row>
    <row r="65" spans="1:98">
      <c r="C65" t="str">
        <f t="shared" si="48"/>
        <v>-</v>
      </c>
      <c r="D65" t="str">
        <f t="shared" si="49"/>
        <v>-</v>
      </c>
      <c r="E65" t="str">
        <f t="shared" si="50"/>
        <v>K</v>
      </c>
      <c r="F65" t="s">
        <v>95</v>
      </c>
      <c r="G65" t="s">
        <v>504</v>
      </c>
      <c r="H65" t="s">
        <v>385</v>
      </c>
      <c r="I65" t="s">
        <v>214</v>
      </c>
      <c r="J65">
        <v>23</v>
      </c>
      <c r="K65" t="s">
        <v>107</v>
      </c>
      <c r="L65" t="s">
        <v>107</v>
      </c>
      <c r="M65" t="s">
        <v>47</v>
      </c>
      <c r="N65" s="216" t="s">
        <v>47</v>
      </c>
      <c r="O65" t="s">
        <v>232</v>
      </c>
      <c r="P65" s="216" t="s">
        <v>230</v>
      </c>
      <c r="Q65">
        <v>5</v>
      </c>
      <c r="R65">
        <v>3</v>
      </c>
      <c r="S65">
        <v>4</v>
      </c>
      <c r="T65">
        <v>4</v>
      </c>
      <c r="U65" s="216">
        <v>4</v>
      </c>
      <c r="V65">
        <v>5</v>
      </c>
      <c r="W65">
        <v>3</v>
      </c>
      <c r="X65">
        <v>5</v>
      </c>
      <c r="Y65">
        <v>4</v>
      </c>
      <c r="Z65" s="216">
        <v>4</v>
      </c>
      <c r="AA65">
        <v>6</v>
      </c>
      <c r="AB65">
        <v>6</v>
      </c>
      <c r="AC65">
        <v>8</v>
      </c>
      <c r="AD65">
        <v>4</v>
      </c>
      <c r="AE65" t="s">
        <v>41</v>
      </c>
      <c r="AF65" t="s">
        <v>41</v>
      </c>
      <c r="AG65" t="s">
        <v>41</v>
      </c>
      <c r="AH65" t="s">
        <v>41</v>
      </c>
      <c r="AI65">
        <v>2</v>
      </c>
      <c r="AJ65" t="s">
        <v>41</v>
      </c>
      <c r="AK65" s="216" t="s">
        <v>41</v>
      </c>
      <c r="AL65">
        <v>2</v>
      </c>
      <c r="AM65">
        <v>3</v>
      </c>
      <c r="AN65" s="216">
        <v>1</v>
      </c>
      <c r="AO65" s="85" t="s">
        <v>41</v>
      </c>
      <c r="AP65" s="216" t="s">
        <v>45</v>
      </c>
      <c r="AQ65" s="6">
        <f t="shared" si="51"/>
        <v>3.833333333333333</v>
      </c>
      <c r="AR65" s="9" t="str">
        <f t="shared" si="52"/>
        <v>Minors</v>
      </c>
      <c r="AS65" s="6">
        <f t="shared" si="53"/>
        <v>4.166666666666667</v>
      </c>
      <c r="AT65" s="6" t="str">
        <f t="shared" si="54"/>
        <v>Bench</v>
      </c>
      <c r="AU65" s="9">
        <f t="shared" si="55"/>
        <v>4.166666666666667</v>
      </c>
      <c r="AV65" s="9" t="str">
        <f t="shared" si="56"/>
        <v>Bench</v>
      </c>
      <c r="AW65" s="53">
        <f t="shared" si="57"/>
        <v>0</v>
      </c>
      <c r="AX65" s="215">
        <f t="shared" si="58"/>
        <v>0</v>
      </c>
      <c r="AY65" s="215">
        <f t="shared" si="59"/>
        <v>0</v>
      </c>
      <c r="AZ65" s="215">
        <f t="shared" si="60"/>
        <v>0</v>
      </c>
      <c r="BA65" s="215">
        <f t="shared" si="61"/>
        <v>0</v>
      </c>
      <c r="BB65" s="215">
        <f t="shared" si="62"/>
        <v>0</v>
      </c>
      <c r="BC65" s="215">
        <f t="shared" si="63"/>
        <v>0</v>
      </c>
      <c r="BD65" s="215">
        <f t="shared" si="64"/>
        <v>0</v>
      </c>
      <c r="BE65" s="216">
        <f t="shared" si="65"/>
        <v>0</v>
      </c>
      <c r="BF65" s="53">
        <f t="shared" si="66"/>
        <v>0</v>
      </c>
      <c r="BG65" s="215">
        <f t="shared" si="67"/>
        <v>0</v>
      </c>
      <c r="BH65" s="215">
        <f t="shared" si="68"/>
        <v>0</v>
      </c>
      <c r="BI65" s="215">
        <f t="shared" si="69"/>
        <v>0</v>
      </c>
      <c r="BJ65" s="215">
        <f t="shared" si="70"/>
        <v>0</v>
      </c>
      <c r="BK65" s="215">
        <f t="shared" si="71"/>
        <v>0</v>
      </c>
      <c r="BL65" s="215">
        <f t="shared" si="72"/>
        <v>0</v>
      </c>
      <c r="BM65" s="215">
        <f t="shared" si="73"/>
        <v>0</v>
      </c>
      <c r="BN65" s="216">
        <f t="shared" si="74"/>
        <v>0</v>
      </c>
      <c r="BO65" s="216">
        <f t="shared" si="75"/>
        <v>0</v>
      </c>
      <c r="BP65" s="7">
        <f t="shared" si="76"/>
        <v>0</v>
      </c>
      <c r="BQ65" t="str">
        <f t="shared" si="77"/>
        <v/>
      </c>
      <c r="BR65" s="91">
        <f>IF(Q65="-","-",VLOOKUP($G65,CTBat!$G$10:$AN$89,BR$9,FALSE)-Q65)</f>
        <v>0</v>
      </c>
      <c r="BS65" s="91">
        <f>IF(R65="-","-",VLOOKUP($G65,CTBat!$G$10:$AN$89,BS$9,FALSE)-R65)</f>
        <v>0</v>
      </c>
      <c r="BT65" s="91">
        <f>IF(S65="-","-",VLOOKUP($G65,CTBat!$G$10:$AN$89,BT$9,FALSE)-S65)</f>
        <v>0</v>
      </c>
      <c r="BU65" s="91">
        <f>IF(T65="-","-",VLOOKUP($G65,CTBat!$G$10:$AN$89,BU$9,FALSE)-T65)</f>
        <v>0</v>
      </c>
      <c r="BV65" s="91">
        <f>IF(U65="-","-",VLOOKUP($G65,CTBat!$G$10:$AN$89,BV$9,FALSE)-U65)</f>
        <v>0</v>
      </c>
      <c r="BW65" s="91">
        <f>IF(V65="-","-",VLOOKUP($G65,CTBat!$G$10:$AN$89,BW$9,FALSE)-V65)</f>
        <v>0</v>
      </c>
      <c r="BX65" s="91">
        <f>IF(W65="-","-",VLOOKUP($G65,CTBat!$G$10:$AN$89,BX$9,FALSE)-W65)</f>
        <v>0</v>
      </c>
      <c r="BY65" s="91">
        <f>IF(X65="-","-",VLOOKUP($G65,CTBat!$G$10:$AN$89,BY$9,FALSE)-X65)</f>
        <v>0</v>
      </c>
      <c r="BZ65" s="91">
        <f>IF(Y65="-","-",VLOOKUP($G65,CTBat!$G$10:$AN$89,BZ$9,FALSE)-Y65)</f>
        <v>0</v>
      </c>
      <c r="CA65" s="91">
        <f>IF(Z65="-","-",VLOOKUP($G65,CTBat!$G$10:$AN$89,CA$9,FALSE)-Z65)</f>
        <v>0</v>
      </c>
      <c r="CB65" s="91">
        <f>IF(AA65="-","-",VLOOKUP($G65,CTBat!$G$10:$AN$89,CB$9,FALSE)-AA65)</f>
        <v>0</v>
      </c>
      <c r="CC65" s="91">
        <f>IF(AB65="-","-",VLOOKUP($G65,CTBat!$G$10:$AN$89,CC$9,FALSE)-AB65)</f>
        <v>0</v>
      </c>
      <c r="CD65" s="91">
        <f>IF(AC65="-","-",VLOOKUP($G65,CTBat!$G$10:$AN$89,CD$9,FALSE)-AC65)</f>
        <v>0</v>
      </c>
      <c r="CE65" s="91">
        <f>IF(AD65="-","-",VLOOKUP($G65,CTBat!$G$10:$AN$89,CE$9,FALSE)-AD65)</f>
        <v>0</v>
      </c>
      <c r="CF65" s="91" t="str">
        <f>IF(AE65="-","-",VLOOKUP($G65,CTBat!$G$10:$AN$89,CF$9,FALSE)-AE65)</f>
        <v>-</v>
      </c>
      <c r="CG65" s="91" t="str">
        <f>IF(AF65="-","-",VLOOKUP($G65,CTBat!$G$10:$AN$89,CG$9,FALSE)-AF65)</f>
        <v>-</v>
      </c>
      <c r="CH65" s="91" t="str">
        <f>IF(AG65="-","-",VLOOKUP($G65,CTBat!$G$10:$AN$89,CH$9,FALSE)-AG65)</f>
        <v>-</v>
      </c>
      <c r="CI65" s="91" t="str">
        <f>IF(AH65="-","-",VLOOKUP($G65,CTBat!$G$10:$AN$89,CI$9,FALSE)-AH65)</f>
        <v>-</v>
      </c>
      <c r="CJ65" s="91">
        <f>IF(AI65="-","-",VLOOKUP($G65,CTBat!$G$10:$AN$89,CJ$9,FALSE)-AI65)</f>
        <v>0</v>
      </c>
      <c r="CK65" s="91" t="str">
        <f>IF(AJ65="-","-",VLOOKUP($G65,CTBat!$G$10:$AN$89,CK$9,FALSE)-AJ65)</f>
        <v>-</v>
      </c>
      <c r="CL65" s="91" t="str">
        <f>IF(AK65="-","-",VLOOKUP($G65,CTBat!$G$10:$AN$89,CL$9,FALSE)-AK65)</f>
        <v>-</v>
      </c>
      <c r="CM65" s="91">
        <f>IF(AL65="-","-",VLOOKUP($G65,CTBat!$G$10:$AN$89,CM$9,FALSE)-AL65)</f>
        <v>0</v>
      </c>
      <c r="CN65" s="91">
        <f>IF(AM65="-","-",VLOOKUP($G65,CTBat!$G$10:$AN$89,CN$9,FALSE)-AM65)</f>
        <v>0</v>
      </c>
      <c r="CO65" s="91">
        <f>IF(AN65="-","-",VLOOKUP($G65,CTBat!$G$10:$AN$89,CO$9,FALSE)-AN65)</f>
        <v>0</v>
      </c>
      <c r="CP65" s="91">
        <f t="shared" si="78"/>
        <v>0</v>
      </c>
      <c r="CQ65" s="91">
        <f t="shared" si="79"/>
        <v>0</v>
      </c>
      <c r="CR65" s="91">
        <f t="shared" si="80"/>
        <v>0</v>
      </c>
      <c r="CS65" s="91">
        <f t="shared" si="81"/>
        <v>0</v>
      </c>
      <c r="CT65" s="91">
        <f t="shared" si="82"/>
        <v>0</v>
      </c>
    </row>
    <row r="66" spans="1:98">
      <c r="C66">
        <f t="shared" si="48"/>
        <v>2</v>
      </c>
      <c r="D66">
        <f t="shared" si="49"/>
        <v>2</v>
      </c>
      <c r="E66" t="str">
        <f t="shared" si="50"/>
        <v>K</v>
      </c>
      <c r="F66" t="s">
        <v>98</v>
      </c>
      <c r="G66" t="s">
        <v>239</v>
      </c>
      <c r="H66" t="s">
        <v>385</v>
      </c>
      <c r="I66" t="s">
        <v>214</v>
      </c>
      <c r="J66">
        <v>26</v>
      </c>
      <c r="K66" t="s">
        <v>107</v>
      </c>
      <c r="L66" t="s">
        <v>107</v>
      </c>
      <c r="M66" t="s">
        <v>47</v>
      </c>
      <c r="N66" s="3" t="s">
        <v>47</v>
      </c>
      <c r="O66" t="s">
        <v>229</v>
      </c>
      <c r="P66" s="3" t="s">
        <v>228</v>
      </c>
      <c r="Q66">
        <v>7</v>
      </c>
      <c r="R66">
        <v>6</v>
      </c>
      <c r="S66">
        <v>1</v>
      </c>
      <c r="T66">
        <v>3</v>
      </c>
      <c r="U66" s="3">
        <v>10</v>
      </c>
      <c r="V66">
        <v>7</v>
      </c>
      <c r="W66">
        <v>7</v>
      </c>
      <c r="X66">
        <v>1</v>
      </c>
      <c r="Y66">
        <v>4</v>
      </c>
      <c r="Z66" s="3">
        <v>10</v>
      </c>
      <c r="AA66">
        <v>4</v>
      </c>
      <c r="AB66">
        <v>3</v>
      </c>
      <c r="AC66">
        <v>1</v>
      </c>
      <c r="AD66" t="s">
        <v>41</v>
      </c>
      <c r="AE66" t="s">
        <v>41</v>
      </c>
      <c r="AF66">
        <v>8</v>
      </c>
      <c r="AG66" t="s">
        <v>41</v>
      </c>
      <c r="AH66">
        <v>1</v>
      </c>
      <c r="AI66" t="s">
        <v>41</v>
      </c>
      <c r="AJ66" t="s">
        <v>41</v>
      </c>
      <c r="AK66" s="3" t="s">
        <v>41</v>
      </c>
      <c r="AL66">
        <v>6</v>
      </c>
      <c r="AM66">
        <v>7</v>
      </c>
      <c r="AN66" s="3">
        <v>6</v>
      </c>
      <c r="AO66" t="s">
        <v>41</v>
      </c>
      <c r="AP66" s="3">
        <v>0</v>
      </c>
      <c r="AQ66" s="6">
        <f t="shared" si="51"/>
        <v>3.6666666666666665</v>
      </c>
      <c r="AR66" s="9" t="str">
        <f t="shared" si="52"/>
        <v>Minors</v>
      </c>
      <c r="AS66" s="6">
        <f t="shared" si="53"/>
        <v>4</v>
      </c>
      <c r="AT66" s="6" t="str">
        <f t="shared" si="54"/>
        <v>Minors</v>
      </c>
      <c r="AU66" s="9">
        <f t="shared" si="55"/>
        <v>3.6666666666666665</v>
      </c>
      <c r="AV66" s="9" t="str">
        <f t="shared" si="56"/>
        <v>Minors</v>
      </c>
      <c r="AW66" s="53">
        <f t="shared" si="57"/>
        <v>0</v>
      </c>
      <c r="AX66" s="5">
        <f t="shared" si="58"/>
        <v>1</v>
      </c>
      <c r="AY66" s="5">
        <f t="shared" si="59"/>
        <v>0</v>
      </c>
      <c r="AZ66" s="5">
        <f t="shared" si="60"/>
        <v>0</v>
      </c>
      <c r="BA66" s="5">
        <f t="shared" si="61"/>
        <v>0</v>
      </c>
      <c r="BB66" s="5">
        <f t="shared" si="62"/>
        <v>1</v>
      </c>
      <c r="BC66" s="5">
        <f t="shared" si="63"/>
        <v>1</v>
      </c>
      <c r="BD66" s="5">
        <f t="shared" si="64"/>
        <v>1</v>
      </c>
      <c r="BE66" s="3">
        <f t="shared" si="65"/>
        <v>1</v>
      </c>
      <c r="BF66" s="53">
        <f t="shared" si="66"/>
        <v>0</v>
      </c>
      <c r="BG66" s="5">
        <f t="shared" si="67"/>
        <v>1</v>
      </c>
      <c r="BH66" s="5">
        <f t="shared" si="68"/>
        <v>0</v>
      </c>
      <c r="BI66" s="5">
        <f t="shared" si="69"/>
        <v>0</v>
      </c>
      <c r="BJ66" s="5">
        <f t="shared" si="70"/>
        <v>0</v>
      </c>
      <c r="BK66" s="5">
        <f t="shared" si="71"/>
        <v>1</v>
      </c>
      <c r="BL66" s="5">
        <f t="shared" si="72"/>
        <v>1</v>
      </c>
      <c r="BM66" s="5">
        <f t="shared" si="73"/>
        <v>1</v>
      </c>
      <c r="BN66" s="3">
        <f t="shared" si="74"/>
        <v>1</v>
      </c>
      <c r="BO66" s="3">
        <f t="shared" si="75"/>
        <v>0</v>
      </c>
      <c r="BP66" s="7">
        <f t="shared" si="76"/>
        <v>2</v>
      </c>
      <c r="BQ66" t="str">
        <f t="shared" si="77"/>
        <v/>
      </c>
      <c r="BR66" s="91">
        <f>IF(Q66="-","-",VLOOKUP($G66,CTBat!$G$10:$AN$89,BR$9,FALSE)-Q66)</f>
        <v>0</v>
      </c>
      <c r="BS66" s="91">
        <f>IF(R66="-","-",VLOOKUP($G66,CTBat!$G$10:$AN$89,BS$9,FALSE)-R66)</f>
        <v>0</v>
      </c>
      <c r="BT66" s="91">
        <f>IF(S66="-","-",VLOOKUP($G66,CTBat!$G$10:$AN$89,BT$9,FALSE)-S66)</f>
        <v>0</v>
      </c>
      <c r="BU66" s="91">
        <f>IF(T66="-","-",VLOOKUP($G66,CTBat!$G$10:$AN$89,BU$9,FALSE)-T66)</f>
        <v>0</v>
      </c>
      <c r="BV66" s="91">
        <f>IF(U66="-","-",VLOOKUP($G66,CTBat!$G$10:$AN$89,BV$9,FALSE)-U66)</f>
        <v>0</v>
      </c>
      <c r="BW66" s="91">
        <f>IF(V66="-","-",VLOOKUP($G66,CTBat!$G$10:$AN$89,BW$9,FALSE)-V66)</f>
        <v>0</v>
      </c>
      <c r="BX66" s="91">
        <f>IF(W66="-","-",VLOOKUP($G66,CTBat!$G$10:$AN$89,BX$9,FALSE)-W66)</f>
        <v>0</v>
      </c>
      <c r="BY66" s="91">
        <f>IF(X66="-","-",VLOOKUP($G66,CTBat!$G$10:$AN$89,BY$9,FALSE)-X66)</f>
        <v>0</v>
      </c>
      <c r="BZ66" s="91">
        <f>IF(Y66="-","-",VLOOKUP($G66,CTBat!$G$10:$AN$89,BZ$9,FALSE)-Y66)</f>
        <v>0</v>
      </c>
      <c r="CA66" s="91">
        <f>IF(Z66="-","-",VLOOKUP($G66,CTBat!$G$10:$AN$89,CA$9,FALSE)-Z66)</f>
        <v>0</v>
      </c>
      <c r="CB66" s="91">
        <f>IF(AA66="-","-",VLOOKUP($G66,CTBat!$G$10:$AN$89,CB$9,FALSE)-AA66)</f>
        <v>0</v>
      </c>
      <c r="CC66" s="91">
        <f>IF(AB66="-","-",VLOOKUP($G66,CTBat!$G$10:$AN$89,CC$9,FALSE)-AB66)</f>
        <v>0</v>
      </c>
      <c r="CD66" s="91">
        <f>IF(AC66="-","-",VLOOKUP($G66,CTBat!$G$10:$AN$89,CD$9,FALSE)-AC66)</f>
        <v>0</v>
      </c>
      <c r="CE66" s="91" t="str">
        <f>IF(AD66="-","-",VLOOKUP($G66,CTBat!$G$10:$AN$89,CE$9,FALSE)-AD66)</f>
        <v>-</v>
      </c>
      <c r="CF66" s="91" t="str">
        <f>IF(AE66="-","-",VLOOKUP($G66,CTBat!$G$10:$AN$89,CF$9,FALSE)-AE66)</f>
        <v>-</v>
      </c>
      <c r="CG66" s="91">
        <f>IF(AF66="-","-",VLOOKUP($G66,CTBat!$G$10:$AN$89,CG$9,FALSE)-AF66)</f>
        <v>0</v>
      </c>
      <c r="CH66" s="91" t="str">
        <f>IF(AG66="-","-",VLOOKUP($G66,CTBat!$G$10:$AN$89,CH$9,FALSE)-AG66)</f>
        <v>-</v>
      </c>
      <c r="CI66" s="91">
        <f>IF(AH66="-","-",VLOOKUP($G66,CTBat!$G$10:$AN$89,CI$9,FALSE)-AH66)</f>
        <v>0</v>
      </c>
      <c r="CJ66" s="91" t="str">
        <f>IF(AI66="-","-",VLOOKUP($G66,CTBat!$G$10:$AN$89,CJ$9,FALSE)-AI66)</f>
        <v>-</v>
      </c>
      <c r="CK66" s="91" t="str">
        <f>IF(AJ66="-","-",VLOOKUP($G66,CTBat!$G$10:$AN$89,CK$9,FALSE)-AJ66)</f>
        <v>-</v>
      </c>
      <c r="CL66" s="91" t="str">
        <f>IF(AK66="-","-",VLOOKUP($G66,CTBat!$G$10:$AN$89,CL$9,FALSE)-AK66)</f>
        <v>-</v>
      </c>
      <c r="CM66" s="91">
        <f>IF(AL66="-","-",VLOOKUP($G66,CTBat!$G$10:$AN$89,CM$9,FALSE)-AL66)</f>
        <v>0</v>
      </c>
      <c r="CN66" s="91">
        <f>IF(AM66="-","-",VLOOKUP($G66,CTBat!$G$10:$AN$89,CN$9,FALSE)-AM66)</f>
        <v>0</v>
      </c>
      <c r="CO66" s="91">
        <f>IF(AN66="-","-",VLOOKUP($G66,CTBat!$G$10:$AN$89,CO$9,FALSE)-AN66)</f>
        <v>0</v>
      </c>
      <c r="CP66" s="91">
        <f t="shared" si="78"/>
        <v>0</v>
      </c>
      <c r="CQ66" s="91">
        <f t="shared" si="79"/>
        <v>0</v>
      </c>
      <c r="CR66" s="91">
        <f t="shared" si="80"/>
        <v>0</v>
      </c>
      <c r="CS66" s="91">
        <f t="shared" si="81"/>
        <v>0</v>
      </c>
      <c r="CT66" s="91">
        <f t="shared" si="82"/>
        <v>0</v>
      </c>
    </row>
    <row r="67" spans="1:98">
      <c r="C67" t="str">
        <f t="shared" si="48"/>
        <v>-</v>
      </c>
      <c r="D67" t="str">
        <f t="shared" si="49"/>
        <v>-</v>
      </c>
      <c r="E67" t="str">
        <f t="shared" si="50"/>
        <v>K</v>
      </c>
      <c r="F67" t="s">
        <v>97</v>
      </c>
      <c r="G67" t="s">
        <v>550</v>
      </c>
      <c r="H67" t="s">
        <v>383</v>
      </c>
      <c r="I67" t="s">
        <v>327</v>
      </c>
      <c r="J67">
        <v>17</v>
      </c>
      <c r="K67" t="s">
        <v>107</v>
      </c>
      <c r="L67" t="s">
        <v>106</v>
      </c>
      <c r="M67" t="s">
        <v>47</v>
      </c>
      <c r="N67" s="216" t="s">
        <v>47</v>
      </c>
      <c r="O67" t="s">
        <v>231</v>
      </c>
      <c r="P67" s="216" t="s">
        <v>230</v>
      </c>
      <c r="Q67">
        <v>1</v>
      </c>
      <c r="R67">
        <v>3</v>
      </c>
      <c r="S67">
        <v>2</v>
      </c>
      <c r="T67">
        <v>1</v>
      </c>
      <c r="U67" s="216">
        <v>1</v>
      </c>
      <c r="V67">
        <v>4</v>
      </c>
      <c r="W67">
        <v>7</v>
      </c>
      <c r="X67">
        <v>7</v>
      </c>
      <c r="Y67">
        <v>4</v>
      </c>
      <c r="Z67" s="216">
        <v>3</v>
      </c>
      <c r="AA67">
        <v>3</v>
      </c>
      <c r="AB67">
        <v>2</v>
      </c>
      <c r="AC67">
        <v>1</v>
      </c>
      <c r="AD67" t="s">
        <v>41</v>
      </c>
      <c r="AE67">
        <v>2</v>
      </c>
      <c r="AF67" t="s">
        <v>41</v>
      </c>
      <c r="AG67" t="s">
        <v>41</v>
      </c>
      <c r="AH67" t="s">
        <v>41</v>
      </c>
      <c r="AI67" t="s">
        <v>41</v>
      </c>
      <c r="AJ67" t="s">
        <v>41</v>
      </c>
      <c r="AK67" s="216" t="s">
        <v>41</v>
      </c>
      <c r="AL67">
        <v>3</v>
      </c>
      <c r="AM67">
        <v>1</v>
      </c>
      <c r="AN67" s="216">
        <v>1</v>
      </c>
      <c r="AO67" s="85" t="s">
        <v>41</v>
      </c>
      <c r="AP67" s="216">
        <v>0</v>
      </c>
      <c r="AQ67" s="6">
        <f t="shared" si="51"/>
        <v>-1.1666666666666667</v>
      </c>
      <c r="AR67" s="9" t="str">
        <f t="shared" si="52"/>
        <v>Minors</v>
      </c>
      <c r="AS67" s="6">
        <f t="shared" si="53"/>
        <v>4</v>
      </c>
      <c r="AT67" s="6" t="str">
        <f t="shared" si="54"/>
        <v>Minors</v>
      </c>
      <c r="AU67" s="9">
        <f t="shared" si="55"/>
        <v>4</v>
      </c>
      <c r="AV67" s="9" t="str">
        <f t="shared" si="56"/>
        <v>Minors</v>
      </c>
      <c r="AW67" s="53">
        <f t="shared" si="57"/>
        <v>0</v>
      </c>
      <c r="AX67" s="215">
        <f t="shared" si="58"/>
        <v>0</v>
      </c>
      <c r="AY67" s="215">
        <f t="shared" si="59"/>
        <v>0</v>
      </c>
      <c r="AZ67" s="215">
        <f t="shared" si="60"/>
        <v>0</v>
      </c>
      <c r="BA67" s="215">
        <f t="shared" si="61"/>
        <v>0</v>
      </c>
      <c r="BB67" s="215">
        <f t="shared" si="62"/>
        <v>0</v>
      </c>
      <c r="BC67" s="215">
        <f t="shared" si="63"/>
        <v>0</v>
      </c>
      <c r="BD67" s="215">
        <f t="shared" si="64"/>
        <v>0</v>
      </c>
      <c r="BE67" s="216">
        <f t="shared" si="65"/>
        <v>0</v>
      </c>
      <c r="BF67" s="53">
        <f t="shared" si="66"/>
        <v>0</v>
      </c>
      <c r="BG67" s="215">
        <f t="shared" si="67"/>
        <v>0</v>
      </c>
      <c r="BH67" s="215">
        <f t="shared" si="68"/>
        <v>0</v>
      </c>
      <c r="BI67" s="215">
        <f t="shared" si="69"/>
        <v>0</v>
      </c>
      <c r="BJ67" s="215">
        <f t="shared" si="70"/>
        <v>0</v>
      </c>
      <c r="BK67" s="215">
        <f t="shared" si="71"/>
        <v>0</v>
      </c>
      <c r="BL67" s="215">
        <f t="shared" si="72"/>
        <v>0</v>
      </c>
      <c r="BM67" s="215">
        <f t="shared" si="73"/>
        <v>0</v>
      </c>
      <c r="BN67" s="216">
        <f t="shared" si="74"/>
        <v>0</v>
      </c>
      <c r="BO67" s="216">
        <f t="shared" si="75"/>
        <v>0</v>
      </c>
      <c r="BP67" s="7">
        <f t="shared" si="76"/>
        <v>0</v>
      </c>
      <c r="BQ67" t="str">
        <f t="shared" si="77"/>
        <v/>
      </c>
      <c r="BR67" s="91">
        <f>IF(Q67="-","-",VLOOKUP($G67,CTBat!$G$10:$AN$89,BR$9,FALSE)-Q67)</f>
        <v>0</v>
      </c>
      <c r="BS67" s="91">
        <f>IF(R67="-","-",VLOOKUP($G67,CTBat!$G$10:$AN$89,BS$9,FALSE)-R67)</f>
        <v>0</v>
      </c>
      <c r="BT67" s="91">
        <f>IF(S67="-","-",VLOOKUP($G67,CTBat!$G$10:$AN$89,BT$9,FALSE)-S67)</f>
        <v>0</v>
      </c>
      <c r="BU67" s="91">
        <f>IF(T67="-","-",VLOOKUP($G67,CTBat!$G$10:$AN$89,BU$9,FALSE)-T67)</f>
        <v>0</v>
      </c>
      <c r="BV67" s="91">
        <f>IF(U67="-","-",VLOOKUP($G67,CTBat!$G$10:$AN$89,BV$9,FALSE)-U67)</f>
        <v>0</v>
      </c>
      <c r="BW67" s="91">
        <f>IF(V67="-","-",VLOOKUP($G67,CTBat!$G$10:$AN$89,BW$9,FALSE)-V67)</f>
        <v>0</v>
      </c>
      <c r="BX67" s="91">
        <f>IF(W67="-","-",VLOOKUP($G67,CTBat!$G$10:$AN$89,BX$9,FALSE)-W67)</f>
        <v>0</v>
      </c>
      <c r="BY67" s="91">
        <f>IF(X67="-","-",VLOOKUP($G67,CTBat!$G$10:$AN$89,BY$9,FALSE)-X67)</f>
        <v>0</v>
      </c>
      <c r="BZ67" s="91">
        <f>IF(Y67="-","-",VLOOKUP($G67,CTBat!$G$10:$AN$89,BZ$9,FALSE)-Y67)</f>
        <v>0</v>
      </c>
      <c r="CA67" s="91">
        <f>IF(Z67="-","-",VLOOKUP($G67,CTBat!$G$10:$AN$89,CA$9,FALSE)-Z67)</f>
        <v>0</v>
      </c>
      <c r="CB67" s="91">
        <f>IF(AA67="-","-",VLOOKUP($G67,CTBat!$G$10:$AN$89,CB$9,FALSE)-AA67)</f>
        <v>0</v>
      </c>
      <c r="CC67" s="91">
        <f>IF(AB67="-","-",VLOOKUP($G67,CTBat!$G$10:$AN$89,CC$9,FALSE)-AB67)</f>
        <v>0</v>
      </c>
      <c r="CD67" s="91">
        <f>IF(AC67="-","-",VLOOKUP($G67,CTBat!$G$10:$AN$89,CD$9,FALSE)-AC67)</f>
        <v>0</v>
      </c>
      <c r="CE67" s="91" t="str">
        <f>IF(AD67="-","-",VLOOKUP($G67,CTBat!$G$10:$AN$89,CE$9,FALSE)-AD67)</f>
        <v>-</v>
      </c>
      <c r="CF67" s="91">
        <f>IF(AE67="-","-",VLOOKUP($G67,CTBat!$G$10:$AN$89,CF$9,FALSE)-AE67)</f>
        <v>0</v>
      </c>
      <c r="CG67" s="91" t="str">
        <f>IF(AF67="-","-",VLOOKUP($G67,CTBat!$G$10:$AN$89,CG$9,FALSE)-AF67)</f>
        <v>-</v>
      </c>
      <c r="CH67" s="91" t="str">
        <f>IF(AG67="-","-",VLOOKUP($G67,CTBat!$G$10:$AN$89,CH$9,FALSE)-AG67)</f>
        <v>-</v>
      </c>
      <c r="CI67" s="91" t="str">
        <f>IF(AH67="-","-",VLOOKUP($G67,CTBat!$G$10:$AN$89,CI$9,FALSE)-AH67)</f>
        <v>-</v>
      </c>
      <c r="CJ67" s="91" t="str">
        <f>IF(AI67="-","-",VLOOKUP($G67,CTBat!$G$10:$AN$89,CJ$9,FALSE)-AI67)</f>
        <v>-</v>
      </c>
      <c r="CK67" s="91" t="str">
        <f>IF(AJ67="-","-",VLOOKUP($G67,CTBat!$G$10:$AN$89,CK$9,FALSE)-AJ67)</f>
        <v>-</v>
      </c>
      <c r="CL67" s="91" t="str">
        <f>IF(AK67="-","-",VLOOKUP($G67,CTBat!$G$10:$AN$89,CL$9,FALSE)-AK67)</f>
        <v>-</v>
      </c>
      <c r="CM67" s="91">
        <f>IF(AL67="-","-",VLOOKUP($G67,CTBat!$G$10:$AN$89,CM$9,FALSE)-AL67)</f>
        <v>0</v>
      </c>
      <c r="CN67" s="91">
        <f>IF(AM67="-","-",VLOOKUP($G67,CTBat!$G$10:$AN$89,CN$9,FALSE)-AM67)</f>
        <v>0</v>
      </c>
      <c r="CO67" s="91">
        <f>IF(AN67="-","-",VLOOKUP($G67,CTBat!$G$10:$AN$89,CO$9,FALSE)-AN67)</f>
        <v>0</v>
      </c>
      <c r="CP67" s="91">
        <f t="shared" si="78"/>
        <v>0</v>
      </c>
      <c r="CQ67" s="91">
        <f t="shared" si="79"/>
        <v>0</v>
      </c>
      <c r="CR67" s="91">
        <f t="shared" si="80"/>
        <v>0</v>
      </c>
      <c r="CS67" s="91">
        <f t="shared" si="81"/>
        <v>0</v>
      </c>
      <c r="CT67" s="91">
        <f t="shared" si="82"/>
        <v>0</v>
      </c>
    </row>
    <row r="68" spans="1:98">
      <c r="C68" t="str">
        <f t="shared" si="48"/>
        <v>-</v>
      </c>
      <c r="D68" t="str">
        <f t="shared" si="49"/>
        <v>-</v>
      </c>
      <c r="E68" t="str">
        <f t="shared" si="50"/>
        <v>K</v>
      </c>
      <c r="F68" t="s">
        <v>95</v>
      </c>
      <c r="G68" t="s">
        <v>506</v>
      </c>
      <c r="H68" t="s">
        <v>385</v>
      </c>
      <c r="I68" t="s">
        <v>214</v>
      </c>
      <c r="J68">
        <v>24</v>
      </c>
      <c r="K68" t="s">
        <v>107</v>
      </c>
      <c r="L68" t="s">
        <v>107</v>
      </c>
      <c r="M68" t="s">
        <v>47</v>
      </c>
      <c r="N68" s="3" t="s">
        <v>47</v>
      </c>
      <c r="O68" t="s">
        <v>231</v>
      </c>
      <c r="P68" s="3" t="s">
        <v>229</v>
      </c>
      <c r="Q68">
        <v>5</v>
      </c>
      <c r="R68">
        <v>5</v>
      </c>
      <c r="S68">
        <v>3</v>
      </c>
      <c r="T68">
        <v>5</v>
      </c>
      <c r="U68" s="3">
        <v>3</v>
      </c>
      <c r="V68">
        <v>5</v>
      </c>
      <c r="W68">
        <v>5</v>
      </c>
      <c r="X68">
        <v>3</v>
      </c>
      <c r="Y68">
        <v>5</v>
      </c>
      <c r="Z68" s="3">
        <v>4</v>
      </c>
      <c r="AA68">
        <v>5</v>
      </c>
      <c r="AB68">
        <v>5</v>
      </c>
      <c r="AC68">
        <v>9</v>
      </c>
      <c r="AD68">
        <v>8</v>
      </c>
      <c r="AE68">
        <v>1</v>
      </c>
      <c r="AF68" t="s">
        <v>41</v>
      </c>
      <c r="AG68">
        <v>1</v>
      </c>
      <c r="AH68" t="s">
        <v>41</v>
      </c>
      <c r="AI68" t="s">
        <v>41</v>
      </c>
      <c r="AJ68" t="s">
        <v>41</v>
      </c>
      <c r="AK68" s="3" t="s">
        <v>41</v>
      </c>
      <c r="AL68">
        <v>3</v>
      </c>
      <c r="AM68">
        <v>2</v>
      </c>
      <c r="AN68" s="3">
        <v>3</v>
      </c>
      <c r="AO68" s="85" t="s">
        <v>41</v>
      </c>
      <c r="AP68" s="3" t="s">
        <v>45</v>
      </c>
      <c r="AQ68" s="6">
        <f t="shared" si="51"/>
        <v>3.833333333333333</v>
      </c>
      <c r="AR68" s="9" t="str">
        <f t="shared" si="52"/>
        <v>Minors</v>
      </c>
      <c r="AS68" s="6">
        <f t="shared" si="53"/>
        <v>3.833333333333333</v>
      </c>
      <c r="AT68" s="6" t="str">
        <f t="shared" si="54"/>
        <v>Minors</v>
      </c>
      <c r="AU68" s="9">
        <f t="shared" si="55"/>
        <v>3.833333333333333</v>
      </c>
      <c r="AV68" s="9" t="str">
        <f t="shared" si="56"/>
        <v>Minors</v>
      </c>
      <c r="AW68" s="53">
        <f t="shared" si="57"/>
        <v>0</v>
      </c>
      <c r="AX68" s="5">
        <f t="shared" si="58"/>
        <v>0</v>
      </c>
      <c r="AY68" s="5">
        <f t="shared" si="59"/>
        <v>0</v>
      </c>
      <c r="AZ68" s="5">
        <f t="shared" si="60"/>
        <v>0</v>
      </c>
      <c r="BA68" s="5">
        <f t="shared" si="61"/>
        <v>0</v>
      </c>
      <c r="BB68" s="5">
        <f t="shared" si="62"/>
        <v>0</v>
      </c>
      <c r="BC68" s="5">
        <f t="shared" si="63"/>
        <v>0</v>
      </c>
      <c r="BD68" s="5">
        <f t="shared" si="64"/>
        <v>0</v>
      </c>
      <c r="BE68" s="3">
        <f t="shared" si="65"/>
        <v>0</v>
      </c>
      <c r="BF68" s="53">
        <f t="shared" si="66"/>
        <v>0</v>
      </c>
      <c r="BG68" s="5">
        <f t="shared" si="67"/>
        <v>0</v>
      </c>
      <c r="BH68" s="5">
        <f t="shared" si="68"/>
        <v>0</v>
      </c>
      <c r="BI68" s="5">
        <f t="shared" si="69"/>
        <v>0</v>
      </c>
      <c r="BJ68" s="5">
        <f t="shared" si="70"/>
        <v>0</v>
      </c>
      <c r="BK68" s="5">
        <f t="shared" si="71"/>
        <v>0</v>
      </c>
      <c r="BL68" s="5">
        <f t="shared" si="72"/>
        <v>0</v>
      </c>
      <c r="BM68" s="5">
        <f t="shared" si="73"/>
        <v>0</v>
      </c>
      <c r="BN68" s="3">
        <f t="shared" si="74"/>
        <v>0</v>
      </c>
      <c r="BO68" s="3">
        <f t="shared" si="75"/>
        <v>0</v>
      </c>
      <c r="BP68" s="7">
        <f t="shared" si="76"/>
        <v>2</v>
      </c>
      <c r="BQ68" t="str">
        <f t="shared" si="77"/>
        <v/>
      </c>
      <c r="BR68" s="91">
        <f>IF(Q68="-","-",VLOOKUP($G68,CTBat!$G$10:$AN$89,BR$9,FALSE)-Q68)</f>
        <v>0</v>
      </c>
      <c r="BS68" s="91">
        <f>IF(R68="-","-",VLOOKUP($G68,CTBat!$G$10:$AN$89,BS$9,FALSE)-R68)</f>
        <v>0</v>
      </c>
      <c r="BT68" s="91">
        <f>IF(S68="-","-",VLOOKUP($G68,CTBat!$G$10:$AN$89,BT$9,FALSE)-S68)</f>
        <v>0</v>
      </c>
      <c r="BU68" s="91">
        <f>IF(T68="-","-",VLOOKUP($G68,CTBat!$G$10:$AN$89,BU$9,FALSE)-T68)</f>
        <v>0</v>
      </c>
      <c r="BV68" s="91">
        <f>IF(U68="-","-",VLOOKUP($G68,CTBat!$G$10:$AN$89,BV$9,FALSE)-U68)</f>
        <v>0</v>
      </c>
      <c r="BW68" s="91">
        <f>IF(V68="-","-",VLOOKUP($G68,CTBat!$G$10:$AN$89,BW$9,FALSE)-V68)</f>
        <v>0</v>
      </c>
      <c r="BX68" s="91">
        <f>IF(W68="-","-",VLOOKUP($G68,CTBat!$G$10:$AN$89,BX$9,FALSE)-W68)</f>
        <v>0</v>
      </c>
      <c r="BY68" s="91">
        <f>IF(X68="-","-",VLOOKUP($G68,CTBat!$G$10:$AN$89,BY$9,FALSE)-X68)</f>
        <v>0</v>
      </c>
      <c r="BZ68" s="91">
        <f>IF(Y68="-","-",VLOOKUP($G68,CTBat!$G$10:$AN$89,BZ$9,FALSE)-Y68)</f>
        <v>0</v>
      </c>
      <c r="CA68" s="91">
        <f>IF(Z68="-","-",VLOOKUP($G68,CTBat!$G$10:$AN$89,CA$9,FALSE)-Z68)</f>
        <v>0</v>
      </c>
      <c r="CB68" s="91">
        <f>IF(AA68="-","-",VLOOKUP($G68,CTBat!$G$10:$AN$89,CB$9,FALSE)-AA68)</f>
        <v>0</v>
      </c>
      <c r="CC68" s="91">
        <f>IF(AB68="-","-",VLOOKUP($G68,CTBat!$G$10:$AN$89,CC$9,FALSE)-AB68)</f>
        <v>0</v>
      </c>
      <c r="CD68" s="91">
        <f>IF(AC68="-","-",VLOOKUP($G68,CTBat!$G$10:$AN$89,CD$9,FALSE)-AC68)</f>
        <v>0</v>
      </c>
      <c r="CE68" s="91">
        <f>IF(AD68="-","-",VLOOKUP($G68,CTBat!$G$10:$AN$89,CE$9,FALSE)-AD68)</f>
        <v>0</v>
      </c>
      <c r="CF68" s="91">
        <f>IF(AE68="-","-",VLOOKUP($G68,CTBat!$G$10:$AN$89,CF$9,FALSE)-AE68)</f>
        <v>0</v>
      </c>
      <c r="CG68" s="91" t="str">
        <f>IF(AF68="-","-",VLOOKUP($G68,CTBat!$G$10:$AN$89,CG$9,FALSE)-AF68)</f>
        <v>-</v>
      </c>
      <c r="CH68" s="91">
        <f>IF(AG68="-","-",VLOOKUP($G68,CTBat!$G$10:$AN$89,CH$9,FALSE)-AG68)</f>
        <v>0</v>
      </c>
      <c r="CI68" s="91" t="str">
        <f>IF(AH68="-","-",VLOOKUP($G68,CTBat!$G$10:$AN$89,CI$9,FALSE)-AH68)</f>
        <v>-</v>
      </c>
      <c r="CJ68" s="91" t="str">
        <f>IF(AI68="-","-",VLOOKUP($G68,CTBat!$G$10:$AN$89,CJ$9,FALSE)-AI68)</f>
        <v>-</v>
      </c>
      <c r="CK68" s="91" t="str">
        <f>IF(AJ68="-","-",VLOOKUP($G68,CTBat!$G$10:$AN$89,CK$9,FALSE)-AJ68)</f>
        <v>-</v>
      </c>
      <c r="CL68" s="91" t="str">
        <f>IF(AK68="-","-",VLOOKUP($G68,CTBat!$G$10:$AN$89,CL$9,FALSE)-AK68)</f>
        <v>-</v>
      </c>
      <c r="CM68" s="91">
        <f>IF(AL68="-","-",VLOOKUP($G68,CTBat!$G$10:$AN$89,CM$9,FALSE)-AL68)</f>
        <v>0</v>
      </c>
      <c r="CN68" s="91">
        <f>IF(AM68="-","-",VLOOKUP($G68,CTBat!$G$10:$AN$89,CN$9,FALSE)-AM68)</f>
        <v>0</v>
      </c>
      <c r="CO68" s="91">
        <f>IF(AN68="-","-",VLOOKUP($G68,CTBat!$G$10:$AN$89,CO$9,FALSE)-AN68)</f>
        <v>0</v>
      </c>
      <c r="CP68" s="91">
        <f t="shared" si="78"/>
        <v>0</v>
      </c>
      <c r="CQ68" s="91">
        <f t="shared" si="79"/>
        <v>0</v>
      </c>
      <c r="CR68" s="91">
        <f t="shared" si="80"/>
        <v>0</v>
      </c>
      <c r="CS68" s="91">
        <f t="shared" si="81"/>
        <v>0</v>
      </c>
      <c r="CT68" s="91">
        <f t="shared" si="82"/>
        <v>0</v>
      </c>
    </row>
    <row r="69" spans="1:98" s="106" customFormat="1">
      <c r="A69"/>
      <c r="B69"/>
      <c r="C69" t="str">
        <f t="shared" si="48"/>
        <v>-</v>
      </c>
      <c r="D69" t="str">
        <f t="shared" si="49"/>
        <v>-</v>
      </c>
      <c r="E69" t="str">
        <f t="shared" si="50"/>
        <v>K</v>
      </c>
      <c r="F69" t="s">
        <v>102</v>
      </c>
      <c r="G69" t="s">
        <v>405</v>
      </c>
      <c r="H69" t="s">
        <v>385</v>
      </c>
      <c r="I69" t="s">
        <v>214</v>
      </c>
      <c r="J69">
        <v>24</v>
      </c>
      <c r="K69" t="s">
        <v>107</v>
      </c>
      <c r="L69" t="s">
        <v>107</v>
      </c>
      <c r="M69" t="s">
        <v>47</v>
      </c>
      <c r="N69" s="3" t="s">
        <v>47</v>
      </c>
      <c r="O69" t="s">
        <v>230</v>
      </c>
      <c r="P69" s="3" t="s">
        <v>230</v>
      </c>
      <c r="Q69">
        <v>4</v>
      </c>
      <c r="R69">
        <v>6</v>
      </c>
      <c r="S69">
        <v>4</v>
      </c>
      <c r="T69">
        <v>4</v>
      </c>
      <c r="U69" s="3">
        <v>3</v>
      </c>
      <c r="V69">
        <v>4</v>
      </c>
      <c r="W69">
        <v>6</v>
      </c>
      <c r="X69">
        <v>5</v>
      </c>
      <c r="Y69">
        <v>5</v>
      </c>
      <c r="Z69" s="3">
        <v>4</v>
      </c>
      <c r="AA69">
        <v>1</v>
      </c>
      <c r="AB69">
        <v>7</v>
      </c>
      <c r="AC69">
        <v>1</v>
      </c>
      <c r="AD69" t="s">
        <v>41</v>
      </c>
      <c r="AE69">
        <v>1</v>
      </c>
      <c r="AF69" t="s">
        <v>41</v>
      </c>
      <c r="AG69" t="s">
        <v>41</v>
      </c>
      <c r="AH69" t="s">
        <v>41</v>
      </c>
      <c r="AI69">
        <v>10</v>
      </c>
      <c r="AJ69">
        <v>7</v>
      </c>
      <c r="AK69" s="3">
        <v>9</v>
      </c>
      <c r="AL69">
        <v>5</v>
      </c>
      <c r="AM69">
        <v>8</v>
      </c>
      <c r="AN69" s="3">
        <v>7</v>
      </c>
      <c r="AO69" s="85" t="s">
        <v>41</v>
      </c>
      <c r="AP69" s="3">
        <v>0</v>
      </c>
      <c r="AQ69" s="6">
        <f t="shared" si="51"/>
        <v>3</v>
      </c>
      <c r="AR69" s="9" t="str">
        <f t="shared" si="52"/>
        <v>Minors</v>
      </c>
      <c r="AS69" s="6">
        <f t="shared" si="53"/>
        <v>3.666666666666667</v>
      </c>
      <c r="AT69" s="6" t="str">
        <f t="shared" si="54"/>
        <v>Minors</v>
      </c>
      <c r="AU69" s="9">
        <f t="shared" si="55"/>
        <v>3.666666666666667</v>
      </c>
      <c r="AV69" s="9" t="str">
        <f t="shared" si="56"/>
        <v>Minors</v>
      </c>
      <c r="AW69" s="53">
        <f t="shared" si="57"/>
        <v>0</v>
      </c>
      <c r="AX69" s="5">
        <f t="shared" si="58"/>
        <v>0</v>
      </c>
      <c r="AY69" s="5">
        <f t="shared" si="59"/>
        <v>0</v>
      </c>
      <c r="AZ69" s="5">
        <f t="shared" si="60"/>
        <v>0</v>
      </c>
      <c r="BA69" s="5">
        <f t="shared" si="61"/>
        <v>0</v>
      </c>
      <c r="BB69" s="5">
        <f t="shared" si="62"/>
        <v>0</v>
      </c>
      <c r="BC69" s="5">
        <f t="shared" si="63"/>
        <v>0</v>
      </c>
      <c r="BD69" s="5">
        <f t="shared" si="64"/>
        <v>0</v>
      </c>
      <c r="BE69" s="3">
        <f t="shared" si="65"/>
        <v>0</v>
      </c>
      <c r="BF69" s="53">
        <f t="shared" si="66"/>
        <v>0</v>
      </c>
      <c r="BG69" s="5">
        <f t="shared" si="67"/>
        <v>0</v>
      </c>
      <c r="BH69" s="5">
        <f t="shared" si="68"/>
        <v>0</v>
      </c>
      <c r="BI69" s="5">
        <f t="shared" si="69"/>
        <v>0</v>
      </c>
      <c r="BJ69" s="5">
        <f t="shared" si="70"/>
        <v>0</v>
      </c>
      <c r="BK69" s="5">
        <f t="shared" si="71"/>
        <v>0</v>
      </c>
      <c r="BL69" s="5">
        <f t="shared" si="72"/>
        <v>0</v>
      </c>
      <c r="BM69" s="5">
        <f t="shared" si="73"/>
        <v>0</v>
      </c>
      <c r="BN69" s="3">
        <f t="shared" si="74"/>
        <v>0</v>
      </c>
      <c r="BO69" s="3">
        <f t="shared" si="75"/>
        <v>2</v>
      </c>
      <c r="BP69" s="7">
        <f t="shared" si="76"/>
        <v>2</v>
      </c>
      <c r="BQ69" t="str">
        <f t="shared" si="77"/>
        <v/>
      </c>
      <c r="BR69" s="91">
        <f>IF(Q69="-","-",VLOOKUP($G69,CTBat!$G$10:$AN$89,BR$9,FALSE)-Q69)</f>
        <v>0</v>
      </c>
      <c r="BS69" s="91">
        <f>IF(R69="-","-",VLOOKUP($G69,CTBat!$G$10:$AN$89,BS$9,FALSE)-R69)</f>
        <v>0</v>
      </c>
      <c r="BT69" s="91">
        <f>IF(S69="-","-",VLOOKUP($G69,CTBat!$G$10:$AN$89,BT$9,FALSE)-S69)</f>
        <v>0</v>
      </c>
      <c r="BU69" s="91">
        <f>IF(T69="-","-",VLOOKUP($G69,CTBat!$G$10:$AN$89,BU$9,FALSE)-T69)</f>
        <v>0</v>
      </c>
      <c r="BV69" s="91">
        <f>IF(U69="-","-",VLOOKUP($G69,CTBat!$G$10:$AN$89,BV$9,FALSE)-U69)</f>
        <v>0</v>
      </c>
      <c r="BW69" s="91">
        <f>IF(V69="-","-",VLOOKUP($G69,CTBat!$G$10:$AN$89,BW$9,FALSE)-V69)</f>
        <v>0</v>
      </c>
      <c r="BX69" s="91">
        <f>IF(W69="-","-",VLOOKUP($G69,CTBat!$G$10:$AN$89,BX$9,FALSE)-W69)</f>
        <v>0</v>
      </c>
      <c r="BY69" s="91">
        <f>IF(X69="-","-",VLOOKUP($G69,CTBat!$G$10:$AN$89,BY$9,FALSE)-X69)</f>
        <v>0</v>
      </c>
      <c r="BZ69" s="91">
        <f>IF(Y69="-","-",VLOOKUP($G69,CTBat!$G$10:$AN$89,BZ$9,FALSE)-Y69)</f>
        <v>0</v>
      </c>
      <c r="CA69" s="91">
        <f>IF(Z69="-","-",VLOOKUP($G69,CTBat!$G$10:$AN$89,CA$9,FALSE)-Z69)</f>
        <v>0</v>
      </c>
      <c r="CB69" s="91">
        <f>IF(AA69="-","-",VLOOKUP($G69,CTBat!$G$10:$AN$89,CB$9,FALSE)-AA69)</f>
        <v>0</v>
      </c>
      <c r="CC69" s="91">
        <f>IF(AB69="-","-",VLOOKUP($G69,CTBat!$G$10:$AN$89,CC$9,FALSE)-AB69)</f>
        <v>0</v>
      </c>
      <c r="CD69" s="91">
        <f>IF(AC69="-","-",VLOOKUP($G69,CTBat!$G$10:$AN$89,CD$9,FALSE)-AC69)</f>
        <v>0</v>
      </c>
      <c r="CE69" s="91" t="str">
        <f>IF(AD69="-","-",VLOOKUP($G69,CTBat!$G$10:$AN$89,CE$9,FALSE)-AD69)</f>
        <v>-</v>
      </c>
      <c r="CF69" s="91">
        <f>IF(AE69="-","-",VLOOKUP($G69,CTBat!$G$10:$AN$89,CF$9,FALSE)-AE69)</f>
        <v>0</v>
      </c>
      <c r="CG69" s="91" t="str">
        <f>IF(AF69="-","-",VLOOKUP($G69,CTBat!$G$10:$AN$89,CG$9,FALSE)-AF69)</f>
        <v>-</v>
      </c>
      <c r="CH69" s="91" t="str">
        <f>IF(AG69="-","-",VLOOKUP($G69,CTBat!$G$10:$AN$89,CH$9,FALSE)-AG69)</f>
        <v>-</v>
      </c>
      <c r="CI69" s="91" t="str">
        <f>IF(AH69="-","-",VLOOKUP($G69,CTBat!$G$10:$AN$89,CI$9,FALSE)-AH69)</f>
        <v>-</v>
      </c>
      <c r="CJ69" s="91">
        <f>IF(AI69="-","-",VLOOKUP($G69,CTBat!$G$10:$AN$89,CJ$9,FALSE)-AI69)</f>
        <v>0</v>
      </c>
      <c r="CK69" s="91">
        <f>IF(AJ69="-","-",VLOOKUP($G69,CTBat!$G$10:$AN$89,CK$9,FALSE)-AJ69)</f>
        <v>0</v>
      </c>
      <c r="CL69" s="91">
        <f>IF(AK69="-","-",VLOOKUP($G69,CTBat!$G$10:$AN$89,CL$9,FALSE)-AK69)</f>
        <v>0</v>
      </c>
      <c r="CM69" s="91">
        <f>IF(AL69="-","-",VLOOKUP($G69,CTBat!$G$10:$AN$89,CM$9,FALSE)-AL69)</f>
        <v>0</v>
      </c>
      <c r="CN69" s="91">
        <f>IF(AM69="-","-",VLOOKUP($G69,CTBat!$G$10:$AN$89,CN$9,FALSE)-AM69)</f>
        <v>0</v>
      </c>
      <c r="CO69" s="91">
        <f>IF(AN69="-","-",VLOOKUP($G69,CTBat!$G$10:$AN$89,CO$9,FALSE)-AN69)</f>
        <v>0</v>
      </c>
      <c r="CP69" s="91">
        <f t="shared" si="78"/>
        <v>0</v>
      </c>
      <c r="CQ69" s="91">
        <f t="shared" si="79"/>
        <v>0</v>
      </c>
      <c r="CR69" s="91">
        <f t="shared" si="80"/>
        <v>0</v>
      </c>
      <c r="CS69" s="91">
        <f t="shared" si="81"/>
        <v>0</v>
      </c>
      <c r="CT69" s="91">
        <f t="shared" si="82"/>
        <v>0</v>
      </c>
    </row>
    <row r="70" spans="1:98">
      <c r="C70" t="str">
        <f t="shared" si="48"/>
        <v>-</v>
      </c>
      <c r="D70" t="str">
        <f t="shared" si="49"/>
        <v>-</v>
      </c>
      <c r="E70" t="str">
        <f t="shared" si="50"/>
        <v>K</v>
      </c>
      <c r="F70" t="s">
        <v>95</v>
      </c>
      <c r="G70" t="s">
        <v>417</v>
      </c>
      <c r="H70" t="s">
        <v>383</v>
      </c>
      <c r="I70" t="s">
        <v>327</v>
      </c>
      <c r="J70">
        <v>19</v>
      </c>
      <c r="K70" t="s">
        <v>107</v>
      </c>
      <c r="L70" t="s">
        <v>107</v>
      </c>
      <c r="M70" t="s">
        <v>47</v>
      </c>
      <c r="N70" s="3" t="s">
        <v>47</v>
      </c>
      <c r="O70" t="s">
        <v>229</v>
      </c>
      <c r="P70" s="3" t="s">
        <v>231</v>
      </c>
      <c r="Q70">
        <v>4</v>
      </c>
      <c r="R70">
        <v>3</v>
      </c>
      <c r="S70">
        <v>3</v>
      </c>
      <c r="T70">
        <v>3</v>
      </c>
      <c r="U70" s="3">
        <v>4</v>
      </c>
      <c r="V70">
        <v>4</v>
      </c>
      <c r="W70">
        <v>4</v>
      </c>
      <c r="X70">
        <v>6</v>
      </c>
      <c r="Y70">
        <v>4</v>
      </c>
      <c r="Z70" s="3">
        <v>5</v>
      </c>
      <c r="AA70">
        <v>5</v>
      </c>
      <c r="AB70">
        <v>5</v>
      </c>
      <c r="AC70">
        <v>6</v>
      </c>
      <c r="AD70">
        <v>4</v>
      </c>
      <c r="AE70" t="s">
        <v>41</v>
      </c>
      <c r="AF70" t="s">
        <v>41</v>
      </c>
      <c r="AG70" t="s">
        <v>41</v>
      </c>
      <c r="AH70" t="s">
        <v>41</v>
      </c>
      <c r="AI70" t="s">
        <v>41</v>
      </c>
      <c r="AJ70" t="s">
        <v>41</v>
      </c>
      <c r="AK70" s="3" t="s">
        <v>41</v>
      </c>
      <c r="AL70">
        <v>1</v>
      </c>
      <c r="AM70">
        <v>1</v>
      </c>
      <c r="AN70" s="3">
        <v>2</v>
      </c>
      <c r="AO70" t="s">
        <v>41</v>
      </c>
      <c r="AP70" s="3">
        <v>0</v>
      </c>
      <c r="AQ70" s="6">
        <f t="shared" si="51"/>
        <v>2.3333333333333335</v>
      </c>
      <c r="AR70" s="9" t="str">
        <f t="shared" si="52"/>
        <v>Minors</v>
      </c>
      <c r="AS70" s="6">
        <f t="shared" si="53"/>
        <v>3.666666666666667</v>
      </c>
      <c r="AT70" s="6" t="str">
        <f t="shared" si="54"/>
        <v>Minors</v>
      </c>
      <c r="AU70" s="9">
        <f t="shared" si="55"/>
        <v>3.666666666666667</v>
      </c>
      <c r="AV70" s="9" t="str">
        <f t="shared" si="56"/>
        <v>Minors</v>
      </c>
      <c r="AW70" s="53">
        <f t="shared" si="57"/>
        <v>0</v>
      </c>
      <c r="AX70" s="5">
        <f t="shared" si="58"/>
        <v>0</v>
      </c>
      <c r="AY70" s="5">
        <f t="shared" si="59"/>
        <v>0</v>
      </c>
      <c r="AZ70" s="5">
        <f t="shared" si="60"/>
        <v>0</v>
      </c>
      <c r="BA70" s="5">
        <f t="shared" si="61"/>
        <v>0</v>
      </c>
      <c r="BB70" s="5">
        <f t="shared" si="62"/>
        <v>0</v>
      </c>
      <c r="BC70" s="5">
        <f t="shared" si="63"/>
        <v>0</v>
      </c>
      <c r="BD70" s="5">
        <f t="shared" si="64"/>
        <v>0</v>
      </c>
      <c r="BE70" s="3">
        <f t="shared" si="65"/>
        <v>0</v>
      </c>
      <c r="BF70" s="53">
        <f t="shared" si="66"/>
        <v>0</v>
      </c>
      <c r="BG70" s="5">
        <f t="shared" si="67"/>
        <v>0</v>
      </c>
      <c r="BH70" s="5">
        <f t="shared" si="68"/>
        <v>0</v>
      </c>
      <c r="BI70" s="5">
        <f t="shared" si="69"/>
        <v>0</v>
      </c>
      <c r="BJ70" s="5">
        <f t="shared" si="70"/>
        <v>0</v>
      </c>
      <c r="BK70" s="5">
        <f t="shared" si="71"/>
        <v>0</v>
      </c>
      <c r="BL70" s="5">
        <f t="shared" si="72"/>
        <v>0</v>
      </c>
      <c r="BM70" s="5">
        <f t="shared" si="73"/>
        <v>0</v>
      </c>
      <c r="BN70" s="3">
        <f t="shared" si="74"/>
        <v>0</v>
      </c>
      <c r="BO70" s="3">
        <f t="shared" si="75"/>
        <v>0</v>
      </c>
      <c r="BP70" s="7">
        <f t="shared" si="76"/>
        <v>0</v>
      </c>
      <c r="BQ70" t="str">
        <f t="shared" si="77"/>
        <v/>
      </c>
      <c r="BR70" s="91">
        <f>IF(Q70="-","-",VLOOKUP($G70,CTBat!$G$10:$AN$89,BR$9,FALSE)-Q70)</f>
        <v>0</v>
      </c>
      <c r="BS70" s="91">
        <f>IF(R70="-","-",VLOOKUP($G70,CTBat!$G$10:$AN$89,BS$9,FALSE)-R70)</f>
        <v>0</v>
      </c>
      <c r="BT70" s="91">
        <f>IF(S70="-","-",VLOOKUP($G70,CTBat!$G$10:$AN$89,BT$9,FALSE)-S70)</f>
        <v>0</v>
      </c>
      <c r="BU70" s="91">
        <f>IF(T70="-","-",VLOOKUP($G70,CTBat!$G$10:$AN$89,BU$9,FALSE)-T70)</f>
        <v>0</v>
      </c>
      <c r="BV70" s="91">
        <f>IF(U70="-","-",VLOOKUP($G70,CTBat!$G$10:$AN$89,BV$9,FALSE)-U70)</f>
        <v>0</v>
      </c>
      <c r="BW70" s="91">
        <f>IF(V70="-","-",VLOOKUP($G70,CTBat!$G$10:$AN$89,BW$9,FALSE)-V70)</f>
        <v>0</v>
      </c>
      <c r="BX70" s="91">
        <f>IF(W70="-","-",VLOOKUP($G70,CTBat!$G$10:$AN$89,BX$9,FALSE)-W70)</f>
        <v>0</v>
      </c>
      <c r="BY70" s="91">
        <f>IF(X70="-","-",VLOOKUP($G70,CTBat!$G$10:$AN$89,BY$9,FALSE)-X70)</f>
        <v>0</v>
      </c>
      <c r="BZ70" s="91">
        <f>IF(Y70="-","-",VLOOKUP($G70,CTBat!$G$10:$AN$89,BZ$9,FALSE)-Y70)</f>
        <v>0</v>
      </c>
      <c r="CA70" s="91">
        <f>IF(Z70="-","-",VLOOKUP($G70,CTBat!$G$10:$AN$89,CA$9,FALSE)-Z70)</f>
        <v>0</v>
      </c>
      <c r="CB70" s="91">
        <f>IF(AA70="-","-",VLOOKUP($G70,CTBat!$G$10:$AN$89,CB$9,FALSE)-AA70)</f>
        <v>0</v>
      </c>
      <c r="CC70" s="91">
        <f>IF(AB70="-","-",VLOOKUP($G70,CTBat!$G$10:$AN$89,CC$9,FALSE)-AB70)</f>
        <v>0</v>
      </c>
      <c r="CD70" s="91">
        <f>IF(AC70="-","-",VLOOKUP($G70,CTBat!$G$10:$AN$89,CD$9,FALSE)-AC70)</f>
        <v>0</v>
      </c>
      <c r="CE70" s="91">
        <f>IF(AD70="-","-",VLOOKUP($G70,CTBat!$G$10:$AN$89,CE$9,FALSE)-AD70)</f>
        <v>0</v>
      </c>
      <c r="CF70" s="91" t="str">
        <f>IF(AE70="-","-",VLOOKUP($G70,CTBat!$G$10:$AN$89,CF$9,FALSE)-AE70)</f>
        <v>-</v>
      </c>
      <c r="CG70" s="91" t="str">
        <f>IF(AF70="-","-",VLOOKUP($G70,CTBat!$G$10:$AN$89,CG$9,FALSE)-AF70)</f>
        <v>-</v>
      </c>
      <c r="CH70" s="91" t="str">
        <f>IF(AG70="-","-",VLOOKUP($G70,CTBat!$G$10:$AN$89,CH$9,FALSE)-AG70)</f>
        <v>-</v>
      </c>
      <c r="CI70" s="91" t="str">
        <f>IF(AH70="-","-",VLOOKUP($G70,CTBat!$G$10:$AN$89,CI$9,FALSE)-AH70)</f>
        <v>-</v>
      </c>
      <c r="CJ70" s="91" t="str">
        <f>IF(AI70="-","-",VLOOKUP($G70,CTBat!$G$10:$AN$89,CJ$9,FALSE)-AI70)</f>
        <v>-</v>
      </c>
      <c r="CK70" s="91" t="str">
        <f>IF(AJ70="-","-",VLOOKUP($G70,CTBat!$G$10:$AN$89,CK$9,FALSE)-AJ70)</f>
        <v>-</v>
      </c>
      <c r="CL70" s="91" t="str">
        <f>IF(AK70="-","-",VLOOKUP($G70,CTBat!$G$10:$AN$89,CL$9,FALSE)-AK70)</f>
        <v>-</v>
      </c>
      <c r="CM70" s="91">
        <f>IF(AL70="-","-",VLOOKUP($G70,CTBat!$G$10:$AN$89,CM$9,FALSE)-AL70)</f>
        <v>0</v>
      </c>
      <c r="CN70" s="91">
        <f>IF(AM70="-","-",VLOOKUP($G70,CTBat!$G$10:$AN$89,CN$9,FALSE)-AM70)</f>
        <v>0</v>
      </c>
      <c r="CO70" s="91">
        <f>IF(AN70="-","-",VLOOKUP($G70,CTBat!$G$10:$AN$89,CO$9,FALSE)-AN70)</f>
        <v>0</v>
      </c>
      <c r="CP70" s="91">
        <f t="shared" si="78"/>
        <v>0</v>
      </c>
      <c r="CQ70" s="91">
        <f t="shared" si="79"/>
        <v>0</v>
      </c>
      <c r="CR70" s="91">
        <f t="shared" si="80"/>
        <v>0</v>
      </c>
      <c r="CS70" s="91">
        <f t="shared" si="81"/>
        <v>0</v>
      </c>
      <c r="CT70" s="91">
        <f t="shared" si="82"/>
        <v>0</v>
      </c>
    </row>
    <row r="71" spans="1:98">
      <c r="C71" t="str">
        <f t="shared" si="48"/>
        <v>-</v>
      </c>
      <c r="D71" t="str">
        <f t="shared" si="49"/>
        <v>-</v>
      </c>
      <c r="E71" t="str">
        <f t="shared" si="50"/>
        <v>K</v>
      </c>
      <c r="F71" t="s">
        <v>100</v>
      </c>
      <c r="G71" t="s">
        <v>467</v>
      </c>
      <c r="H71" t="s">
        <v>384</v>
      </c>
      <c r="I71" t="s">
        <v>213</v>
      </c>
      <c r="J71">
        <v>26</v>
      </c>
      <c r="K71" t="s">
        <v>107</v>
      </c>
      <c r="L71" t="s">
        <v>107</v>
      </c>
      <c r="M71" t="s">
        <v>47</v>
      </c>
      <c r="N71" s="223" t="s">
        <v>47</v>
      </c>
      <c r="O71" t="s">
        <v>229</v>
      </c>
      <c r="P71" s="223" t="s">
        <v>231</v>
      </c>
      <c r="Q71">
        <v>5</v>
      </c>
      <c r="R71">
        <v>5</v>
      </c>
      <c r="S71">
        <v>2</v>
      </c>
      <c r="T71">
        <v>5</v>
      </c>
      <c r="U71" s="223">
        <v>4</v>
      </c>
      <c r="V71">
        <v>5</v>
      </c>
      <c r="W71">
        <v>5</v>
      </c>
      <c r="X71">
        <v>2</v>
      </c>
      <c r="Y71">
        <v>5</v>
      </c>
      <c r="Z71" s="223">
        <v>4</v>
      </c>
      <c r="AA71">
        <v>5</v>
      </c>
      <c r="AB71">
        <v>3</v>
      </c>
      <c r="AC71">
        <v>1</v>
      </c>
      <c r="AD71" t="s">
        <v>41</v>
      </c>
      <c r="AE71">
        <v>10</v>
      </c>
      <c r="AF71">
        <v>7</v>
      </c>
      <c r="AG71">
        <v>3</v>
      </c>
      <c r="AH71">
        <v>8</v>
      </c>
      <c r="AI71" t="s">
        <v>41</v>
      </c>
      <c r="AJ71" t="s">
        <v>41</v>
      </c>
      <c r="AK71" s="223" t="s">
        <v>41</v>
      </c>
      <c r="AL71">
        <v>5</v>
      </c>
      <c r="AM71">
        <v>8</v>
      </c>
      <c r="AN71" s="223">
        <v>8</v>
      </c>
      <c r="AO71" s="85" t="s">
        <v>41</v>
      </c>
      <c r="AP71" s="223" t="s">
        <v>45</v>
      </c>
      <c r="AQ71" s="6">
        <f t="shared" si="51"/>
        <v>3.5</v>
      </c>
      <c r="AR71" s="9" t="str">
        <f t="shared" si="52"/>
        <v>Minors</v>
      </c>
      <c r="AS71" s="6">
        <f t="shared" si="53"/>
        <v>3.5</v>
      </c>
      <c r="AT71" s="6" t="str">
        <f t="shared" si="54"/>
        <v>Minors</v>
      </c>
      <c r="AU71" s="9">
        <f t="shared" si="55"/>
        <v>3.5</v>
      </c>
      <c r="AV71" s="9" t="str">
        <f t="shared" si="56"/>
        <v>Minors</v>
      </c>
      <c r="AW71" s="53">
        <f t="shared" si="57"/>
        <v>0</v>
      </c>
      <c r="AX71" s="222">
        <f t="shared" si="58"/>
        <v>0</v>
      </c>
      <c r="AY71" s="222">
        <f t="shared" si="59"/>
        <v>0</v>
      </c>
      <c r="AZ71" s="222">
        <f t="shared" si="60"/>
        <v>0</v>
      </c>
      <c r="BA71" s="222">
        <f t="shared" si="61"/>
        <v>0</v>
      </c>
      <c r="BB71" s="222">
        <f t="shared" si="62"/>
        <v>0</v>
      </c>
      <c r="BC71" s="222">
        <f t="shared" si="63"/>
        <v>0</v>
      </c>
      <c r="BD71" s="222">
        <f t="shared" si="64"/>
        <v>0</v>
      </c>
      <c r="BE71" s="223">
        <f t="shared" si="65"/>
        <v>0</v>
      </c>
      <c r="BF71" s="53">
        <f t="shared" si="66"/>
        <v>0</v>
      </c>
      <c r="BG71" s="222">
        <f t="shared" si="67"/>
        <v>0</v>
      </c>
      <c r="BH71" s="222">
        <f t="shared" si="68"/>
        <v>0</v>
      </c>
      <c r="BI71" s="222">
        <f t="shared" si="69"/>
        <v>0</v>
      </c>
      <c r="BJ71" s="222">
        <f t="shared" si="70"/>
        <v>0</v>
      </c>
      <c r="BK71" s="222">
        <f t="shared" si="71"/>
        <v>0</v>
      </c>
      <c r="BL71" s="222">
        <f t="shared" si="72"/>
        <v>0</v>
      </c>
      <c r="BM71" s="222">
        <f t="shared" si="73"/>
        <v>0</v>
      </c>
      <c r="BN71" s="223">
        <f t="shared" si="74"/>
        <v>0</v>
      </c>
      <c r="BO71" s="223">
        <f t="shared" si="75"/>
        <v>2</v>
      </c>
      <c r="BP71" s="7">
        <f t="shared" si="76"/>
        <v>2</v>
      </c>
      <c r="BQ71" t="str">
        <f t="shared" si="77"/>
        <v/>
      </c>
      <c r="BR71" s="91">
        <f>IF(Q71="-","-",VLOOKUP($G71,CTBat!$G$10:$AN$89,BR$9,FALSE)-Q71)</f>
        <v>0</v>
      </c>
      <c r="BS71" s="91">
        <f>IF(R71="-","-",VLOOKUP($G71,CTBat!$G$10:$AN$89,BS$9,FALSE)-R71)</f>
        <v>0</v>
      </c>
      <c r="BT71" s="91">
        <f>IF(S71="-","-",VLOOKUP($G71,CTBat!$G$10:$AN$89,BT$9,FALSE)-S71)</f>
        <v>0</v>
      </c>
      <c r="BU71" s="91">
        <f>IF(T71="-","-",VLOOKUP($G71,CTBat!$G$10:$AN$89,BU$9,FALSE)-T71)</f>
        <v>0</v>
      </c>
      <c r="BV71" s="91">
        <f>IF(U71="-","-",VLOOKUP($G71,CTBat!$G$10:$AN$89,BV$9,FALSE)-U71)</f>
        <v>0</v>
      </c>
      <c r="BW71" s="91">
        <f>IF(V71="-","-",VLOOKUP($G71,CTBat!$G$10:$AN$89,BW$9,FALSE)-V71)</f>
        <v>0</v>
      </c>
      <c r="BX71" s="91">
        <f>IF(W71="-","-",VLOOKUP($G71,CTBat!$G$10:$AN$89,BX$9,FALSE)-W71)</f>
        <v>0</v>
      </c>
      <c r="BY71" s="91">
        <f>IF(X71="-","-",VLOOKUP($G71,CTBat!$G$10:$AN$89,BY$9,FALSE)-X71)</f>
        <v>0</v>
      </c>
      <c r="BZ71" s="91">
        <f>IF(Y71="-","-",VLOOKUP($G71,CTBat!$G$10:$AN$89,BZ$9,FALSE)-Y71)</f>
        <v>0</v>
      </c>
      <c r="CA71" s="91">
        <f>IF(Z71="-","-",VLOOKUP($G71,CTBat!$G$10:$AN$89,CA$9,FALSE)-Z71)</f>
        <v>0</v>
      </c>
      <c r="CB71" s="91">
        <f>IF(AA71="-","-",VLOOKUP($G71,CTBat!$G$10:$AN$89,CB$9,FALSE)-AA71)</f>
        <v>0</v>
      </c>
      <c r="CC71" s="91">
        <f>IF(AB71="-","-",VLOOKUP($G71,CTBat!$G$10:$AN$89,CC$9,FALSE)-AB71)</f>
        <v>0</v>
      </c>
      <c r="CD71" s="91">
        <f>IF(AC71="-","-",VLOOKUP($G71,CTBat!$G$10:$AN$89,CD$9,FALSE)-AC71)</f>
        <v>0</v>
      </c>
      <c r="CE71" s="91" t="str">
        <f>IF(AD71="-","-",VLOOKUP($G71,CTBat!$G$10:$AN$89,CE$9,FALSE)-AD71)</f>
        <v>-</v>
      </c>
      <c r="CF71" s="91">
        <f>IF(AE71="-","-",VLOOKUP($G71,CTBat!$G$10:$AN$89,CF$9,FALSE)-AE71)</f>
        <v>0</v>
      </c>
      <c r="CG71" s="91">
        <f>IF(AF71="-","-",VLOOKUP($G71,CTBat!$G$10:$AN$89,CG$9,FALSE)-AF71)</f>
        <v>0</v>
      </c>
      <c r="CH71" s="91">
        <f>IF(AG71="-","-",VLOOKUP($G71,CTBat!$G$10:$AN$89,CH$9,FALSE)-AG71)</f>
        <v>0</v>
      </c>
      <c r="CI71" s="91">
        <f>IF(AH71="-","-",VLOOKUP($G71,CTBat!$G$10:$AN$89,CI$9,FALSE)-AH71)</f>
        <v>0</v>
      </c>
      <c r="CJ71" s="91" t="str">
        <f>IF(AI71="-","-",VLOOKUP($G71,CTBat!$G$10:$AN$89,CJ$9,FALSE)-AI71)</f>
        <v>-</v>
      </c>
      <c r="CK71" s="91" t="str">
        <f>IF(AJ71="-","-",VLOOKUP($G71,CTBat!$G$10:$AN$89,CK$9,FALSE)-AJ71)</f>
        <v>-</v>
      </c>
      <c r="CL71" s="91" t="str">
        <f>IF(AK71="-","-",VLOOKUP($G71,CTBat!$G$10:$AN$89,CL$9,FALSE)-AK71)</f>
        <v>-</v>
      </c>
      <c r="CM71" s="91">
        <f>IF(AL71="-","-",VLOOKUP($G71,CTBat!$G$10:$AN$89,CM$9,FALSE)-AL71)</f>
        <v>0</v>
      </c>
      <c r="CN71" s="91">
        <f>IF(AM71="-","-",VLOOKUP($G71,CTBat!$G$10:$AN$89,CN$9,FALSE)-AM71)</f>
        <v>0</v>
      </c>
      <c r="CO71" s="91">
        <f>IF(AN71="-","-",VLOOKUP($G71,CTBat!$G$10:$AN$89,CO$9,FALSE)-AN71)</f>
        <v>0</v>
      </c>
      <c r="CP71" s="91">
        <f t="shared" si="78"/>
        <v>0</v>
      </c>
      <c r="CQ71" s="91">
        <f t="shared" si="79"/>
        <v>0</v>
      </c>
      <c r="CR71" s="91">
        <f t="shared" si="80"/>
        <v>0</v>
      </c>
      <c r="CS71" s="91">
        <f t="shared" si="81"/>
        <v>0</v>
      </c>
      <c r="CT71" s="91">
        <f t="shared" si="82"/>
        <v>0</v>
      </c>
    </row>
    <row r="72" spans="1:98">
      <c r="C72" t="str">
        <f t="shared" si="48"/>
        <v>-</v>
      </c>
      <c r="D72" t="str">
        <f t="shared" si="49"/>
        <v>-</v>
      </c>
      <c r="E72" t="str">
        <f t="shared" si="50"/>
        <v>K</v>
      </c>
      <c r="F72" t="s">
        <v>99</v>
      </c>
      <c r="G72" t="s">
        <v>466</v>
      </c>
      <c r="H72" t="s">
        <v>386</v>
      </c>
      <c r="I72" t="s">
        <v>215</v>
      </c>
      <c r="J72">
        <v>24</v>
      </c>
      <c r="K72" t="s">
        <v>107</v>
      </c>
      <c r="L72" t="s">
        <v>107</v>
      </c>
      <c r="M72" t="s">
        <v>47</v>
      </c>
      <c r="N72" s="223" t="s">
        <v>47</v>
      </c>
      <c r="O72" t="s">
        <v>228</v>
      </c>
      <c r="P72" s="223" t="s">
        <v>230</v>
      </c>
      <c r="Q72">
        <v>5</v>
      </c>
      <c r="R72">
        <v>5</v>
      </c>
      <c r="S72">
        <v>3</v>
      </c>
      <c r="T72">
        <v>3</v>
      </c>
      <c r="U72" s="223">
        <v>4</v>
      </c>
      <c r="V72">
        <v>5</v>
      </c>
      <c r="W72">
        <v>5</v>
      </c>
      <c r="X72">
        <v>3</v>
      </c>
      <c r="Y72">
        <v>4</v>
      </c>
      <c r="Z72" s="223">
        <v>5</v>
      </c>
      <c r="AA72">
        <v>10</v>
      </c>
      <c r="AB72">
        <v>2</v>
      </c>
      <c r="AC72">
        <v>1</v>
      </c>
      <c r="AD72" t="s">
        <v>41</v>
      </c>
      <c r="AE72">
        <v>10</v>
      </c>
      <c r="AF72">
        <v>7</v>
      </c>
      <c r="AG72">
        <v>6</v>
      </c>
      <c r="AH72">
        <v>5</v>
      </c>
      <c r="AI72" t="s">
        <v>41</v>
      </c>
      <c r="AJ72" t="s">
        <v>41</v>
      </c>
      <c r="AK72" s="223" t="s">
        <v>41</v>
      </c>
      <c r="AL72">
        <v>4</v>
      </c>
      <c r="AM72">
        <v>5</v>
      </c>
      <c r="AN72" s="223">
        <v>7</v>
      </c>
      <c r="AO72" s="85" t="s">
        <v>41</v>
      </c>
      <c r="AP72" s="223" t="s">
        <v>45</v>
      </c>
      <c r="AQ72" s="6">
        <f t="shared" si="51"/>
        <v>3.1666666666666665</v>
      </c>
      <c r="AR72" s="9" t="str">
        <f t="shared" si="52"/>
        <v>Minors</v>
      </c>
      <c r="AS72" s="6">
        <f t="shared" si="53"/>
        <v>3.5</v>
      </c>
      <c r="AT72" s="6" t="str">
        <f t="shared" si="54"/>
        <v>Minors</v>
      </c>
      <c r="AU72" s="9">
        <f t="shared" si="55"/>
        <v>3.5</v>
      </c>
      <c r="AV72" s="9" t="str">
        <f t="shared" si="56"/>
        <v>Minors</v>
      </c>
      <c r="AW72" s="53">
        <f t="shared" si="57"/>
        <v>0</v>
      </c>
      <c r="AX72" s="222">
        <f t="shared" si="58"/>
        <v>0</v>
      </c>
      <c r="AY72" s="222">
        <f t="shared" si="59"/>
        <v>0</v>
      </c>
      <c r="AZ72" s="222">
        <f t="shared" si="60"/>
        <v>0</v>
      </c>
      <c r="BA72" s="222">
        <f t="shared" si="61"/>
        <v>0</v>
      </c>
      <c r="BB72" s="222">
        <f t="shared" si="62"/>
        <v>0</v>
      </c>
      <c r="BC72" s="222">
        <f t="shared" si="63"/>
        <v>0</v>
      </c>
      <c r="BD72" s="222">
        <f t="shared" si="64"/>
        <v>0</v>
      </c>
      <c r="BE72" s="223">
        <f t="shared" si="65"/>
        <v>0</v>
      </c>
      <c r="BF72" s="53">
        <f t="shared" si="66"/>
        <v>0</v>
      </c>
      <c r="BG72" s="222">
        <f t="shared" si="67"/>
        <v>0</v>
      </c>
      <c r="BH72" s="222">
        <f t="shared" si="68"/>
        <v>0</v>
      </c>
      <c r="BI72" s="222">
        <f t="shared" si="69"/>
        <v>0</v>
      </c>
      <c r="BJ72" s="222">
        <f t="shared" si="70"/>
        <v>0</v>
      </c>
      <c r="BK72" s="222">
        <f t="shared" si="71"/>
        <v>0</v>
      </c>
      <c r="BL72" s="222">
        <f t="shared" si="72"/>
        <v>0</v>
      </c>
      <c r="BM72" s="222">
        <f t="shared" si="73"/>
        <v>0</v>
      </c>
      <c r="BN72" s="223">
        <f t="shared" si="74"/>
        <v>0</v>
      </c>
      <c r="BO72" s="223">
        <f t="shared" si="75"/>
        <v>1</v>
      </c>
      <c r="BP72" s="7">
        <f t="shared" si="76"/>
        <v>2</v>
      </c>
      <c r="BQ72" t="str">
        <f t="shared" si="77"/>
        <v/>
      </c>
      <c r="BR72" s="91">
        <f>IF(Q72="-","-",VLOOKUP($G72,CTBat!$G$10:$AN$89,BR$9,FALSE)-Q72)</f>
        <v>0</v>
      </c>
      <c r="BS72" s="91">
        <f>IF(R72="-","-",VLOOKUP($G72,CTBat!$G$10:$AN$89,BS$9,FALSE)-R72)</f>
        <v>0</v>
      </c>
      <c r="BT72" s="91">
        <f>IF(S72="-","-",VLOOKUP($G72,CTBat!$G$10:$AN$89,BT$9,FALSE)-S72)</f>
        <v>0</v>
      </c>
      <c r="BU72" s="91">
        <f>IF(T72="-","-",VLOOKUP($G72,CTBat!$G$10:$AN$89,BU$9,FALSE)-T72)</f>
        <v>0</v>
      </c>
      <c r="BV72" s="91">
        <f>IF(U72="-","-",VLOOKUP($G72,CTBat!$G$10:$AN$89,BV$9,FALSE)-U72)</f>
        <v>0</v>
      </c>
      <c r="BW72" s="91">
        <f>IF(V72="-","-",VLOOKUP($G72,CTBat!$G$10:$AN$89,BW$9,FALSE)-V72)</f>
        <v>0</v>
      </c>
      <c r="BX72" s="91">
        <f>IF(W72="-","-",VLOOKUP($G72,CTBat!$G$10:$AN$89,BX$9,FALSE)-W72)</f>
        <v>0</v>
      </c>
      <c r="BY72" s="91">
        <f>IF(X72="-","-",VLOOKUP($G72,CTBat!$G$10:$AN$89,BY$9,FALSE)-X72)</f>
        <v>0</v>
      </c>
      <c r="BZ72" s="91">
        <f>IF(Y72="-","-",VLOOKUP($G72,CTBat!$G$10:$AN$89,BZ$9,FALSE)-Y72)</f>
        <v>0</v>
      </c>
      <c r="CA72" s="91">
        <f>IF(Z72="-","-",VLOOKUP($G72,CTBat!$G$10:$AN$89,CA$9,FALSE)-Z72)</f>
        <v>0</v>
      </c>
      <c r="CB72" s="91">
        <f>IF(AA72="-","-",VLOOKUP($G72,CTBat!$G$10:$AN$89,CB$9,FALSE)-AA72)</f>
        <v>0</v>
      </c>
      <c r="CC72" s="91">
        <f>IF(AB72="-","-",VLOOKUP($G72,CTBat!$G$10:$AN$89,CC$9,FALSE)-AB72)</f>
        <v>0</v>
      </c>
      <c r="CD72" s="91">
        <f>IF(AC72="-","-",VLOOKUP($G72,CTBat!$G$10:$AN$89,CD$9,FALSE)-AC72)</f>
        <v>0</v>
      </c>
      <c r="CE72" s="91" t="str">
        <f>IF(AD72="-","-",VLOOKUP($G72,CTBat!$G$10:$AN$89,CE$9,FALSE)-AD72)</f>
        <v>-</v>
      </c>
      <c r="CF72" s="91">
        <f>IF(AE72="-","-",VLOOKUP($G72,CTBat!$G$10:$AN$89,CF$9,FALSE)-AE72)</f>
        <v>0</v>
      </c>
      <c r="CG72" s="91">
        <f>IF(AF72="-","-",VLOOKUP($G72,CTBat!$G$10:$AN$89,CG$9,FALSE)-AF72)</f>
        <v>0</v>
      </c>
      <c r="CH72" s="91">
        <f>IF(AG72="-","-",VLOOKUP($G72,CTBat!$G$10:$AN$89,CH$9,FALSE)-AG72)</f>
        <v>0</v>
      </c>
      <c r="CI72" s="91">
        <f>IF(AH72="-","-",VLOOKUP($G72,CTBat!$G$10:$AN$89,CI$9,FALSE)-AH72)</f>
        <v>0</v>
      </c>
      <c r="CJ72" s="91" t="str">
        <f>IF(AI72="-","-",VLOOKUP($G72,CTBat!$G$10:$AN$89,CJ$9,FALSE)-AI72)</f>
        <v>-</v>
      </c>
      <c r="CK72" s="91" t="str">
        <f>IF(AJ72="-","-",VLOOKUP($G72,CTBat!$G$10:$AN$89,CK$9,FALSE)-AJ72)</f>
        <v>-</v>
      </c>
      <c r="CL72" s="91" t="str">
        <f>IF(AK72="-","-",VLOOKUP($G72,CTBat!$G$10:$AN$89,CL$9,FALSE)-AK72)</f>
        <v>-</v>
      </c>
      <c r="CM72" s="91">
        <f>IF(AL72="-","-",VLOOKUP($G72,CTBat!$G$10:$AN$89,CM$9,FALSE)-AL72)</f>
        <v>0</v>
      </c>
      <c r="CN72" s="91">
        <f>IF(AM72="-","-",VLOOKUP($G72,CTBat!$G$10:$AN$89,CN$9,FALSE)-AM72)</f>
        <v>0</v>
      </c>
      <c r="CO72" s="91">
        <f>IF(AN72="-","-",VLOOKUP($G72,CTBat!$G$10:$AN$89,CO$9,FALSE)-AN72)</f>
        <v>0</v>
      </c>
      <c r="CP72" s="91">
        <f t="shared" si="78"/>
        <v>0</v>
      </c>
      <c r="CQ72" s="91">
        <f t="shared" si="79"/>
        <v>0</v>
      </c>
      <c r="CR72" s="91">
        <f t="shared" si="80"/>
        <v>0</v>
      </c>
      <c r="CS72" s="91">
        <f t="shared" si="81"/>
        <v>0</v>
      </c>
      <c r="CT72" s="91">
        <f t="shared" si="82"/>
        <v>0</v>
      </c>
    </row>
    <row r="73" spans="1:98">
      <c r="C73">
        <f t="shared" si="48"/>
        <v>8</v>
      </c>
      <c r="D73">
        <f t="shared" si="49"/>
        <v>8</v>
      </c>
      <c r="E73" t="str">
        <f t="shared" si="50"/>
        <v>K</v>
      </c>
      <c r="F73" t="s">
        <v>101</v>
      </c>
      <c r="G73" t="s">
        <v>241</v>
      </c>
      <c r="H73" t="s">
        <v>386</v>
      </c>
      <c r="I73" t="s">
        <v>215</v>
      </c>
      <c r="J73">
        <v>23</v>
      </c>
      <c r="K73" t="s">
        <v>107</v>
      </c>
      <c r="L73" t="s">
        <v>107</v>
      </c>
      <c r="M73" t="s">
        <v>47</v>
      </c>
      <c r="N73" s="223" t="s">
        <v>47</v>
      </c>
      <c r="O73" t="s">
        <v>228</v>
      </c>
      <c r="P73" s="223" t="s">
        <v>231</v>
      </c>
      <c r="Q73">
        <v>5</v>
      </c>
      <c r="R73">
        <v>8</v>
      </c>
      <c r="S73">
        <v>2</v>
      </c>
      <c r="T73">
        <v>3</v>
      </c>
      <c r="U73" s="223">
        <v>3</v>
      </c>
      <c r="V73">
        <v>5</v>
      </c>
      <c r="W73">
        <v>8</v>
      </c>
      <c r="X73">
        <v>2</v>
      </c>
      <c r="Y73">
        <v>4</v>
      </c>
      <c r="Z73" s="223">
        <v>3</v>
      </c>
      <c r="AA73">
        <v>1</v>
      </c>
      <c r="AB73">
        <v>4</v>
      </c>
      <c r="AC73">
        <v>1</v>
      </c>
      <c r="AD73" t="s">
        <v>41</v>
      </c>
      <c r="AE73" t="s">
        <v>41</v>
      </c>
      <c r="AF73" t="s">
        <v>41</v>
      </c>
      <c r="AG73" t="s">
        <v>41</v>
      </c>
      <c r="AH73" t="s">
        <v>41</v>
      </c>
      <c r="AI73">
        <v>5</v>
      </c>
      <c r="AJ73">
        <v>1</v>
      </c>
      <c r="AK73" s="223">
        <v>4</v>
      </c>
      <c r="AL73">
        <v>7</v>
      </c>
      <c r="AM73">
        <v>10</v>
      </c>
      <c r="AN73" s="223">
        <v>10</v>
      </c>
      <c r="AO73" s="85" t="s">
        <v>41</v>
      </c>
      <c r="AP73" s="223">
        <v>0</v>
      </c>
      <c r="AQ73" s="6">
        <f t="shared" si="51"/>
        <v>2.8333333333333335</v>
      </c>
      <c r="AR73" s="9" t="str">
        <f t="shared" si="52"/>
        <v>Minors</v>
      </c>
      <c r="AS73" s="6">
        <f t="shared" si="53"/>
        <v>3.1666666666666665</v>
      </c>
      <c r="AT73" s="6" t="str">
        <f t="shared" si="54"/>
        <v>Minors</v>
      </c>
      <c r="AU73" s="9">
        <f t="shared" si="55"/>
        <v>3.1666666666666665</v>
      </c>
      <c r="AV73" s="9" t="str">
        <f t="shared" si="56"/>
        <v>Minors</v>
      </c>
      <c r="AW73" s="53">
        <f t="shared" si="57"/>
        <v>0</v>
      </c>
      <c r="AX73" s="222">
        <f t="shared" si="58"/>
        <v>0</v>
      </c>
      <c r="AY73" s="222">
        <f t="shared" si="59"/>
        <v>0</v>
      </c>
      <c r="AZ73" s="222">
        <f t="shared" si="60"/>
        <v>0</v>
      </c>
      <c r="BA73" s="222">
        <f t="shared" si="61"/>
        <v>0</v>
      </c>
      <c r="BB73" s="222">
        <f t="shared" si="62"/>
        <v>0</v>
      </c>
      <c r="BC73" s="222">
        <f t="shared" si="63"/>
        <v>0</v>
      </c>
      <c r="BD73" s="222">
        <f t="shared" si="64"/>
        <v>1</v>
      </c>
      <c r="BE73" s="223">
        <f t="shared" si="65"/>
        <v>1</v>
      </c>
      <c r="BF73" s="53">
        <f t="shared" si="66"/>
        <v>0</v>
      </c>
      <c r="BG73" s="222">
        <f t="shared" si="67"/>
        <v>0</v>
      </c>
      <c r="BH73" s="222">
        <f t="shared" si="68"/>
        <v>0</v>
      </c>
      <c r="BI73" s="222">
        <f t="shared" si="69"/>
        <v>0</v>
      </c>
      <c r="BJ73" s="222">
        <f t="shared" si="70"/>
        <v>0</v>
      </c>
      <c r="BK73" s="222">
        <f t="shared" si="71"/>
        <v>0</v>
      </c>
      <c r="BL73" s="222">
        <f t="shared" si="72"/>
        <v>0</v>
      </c>
      <c r="BM73" s="222">
        <f t="shared" si="73"/>
        <v>1</v>
      </c>
      <c r="BN73" s="223">
        <f t="shared" si="74"/>
        <v>1</v>
      </c>
      <c r="BO73" s="223">
        <f t="shared" si="75"/>
        <v>4</v>
      </c>
      <c r="BP73" s="7">
        <f t="shared" si="76"/>
        <v>1</v>
      </c>
      <c r="BQ73" t="str">
        <f t="shared" si="77"/>
        <v/>
      </c>
      <c r="BR73" s="91">
        <f>IF(Q73="-","-",VLOOKUP($G73,CTBat!$G$10:$AN$89,BR$9,FALSE)-Q73)</f>
        <v>0</v>
      </c>
      <c r="BS73" s="91">
        <f>IF(R73="-","-",VLOOKUP($G73,CTBat!$G$10:$AN$89,BS$9,FALSE)-R73)</f>
        <v>0</v>
      </c>
      <c r="BT73" s="91">
        <f>IF(S73="-","-",VLOOKUP($G73,CTBat!$G$10:$AN$89,BT$9,FALSE)-S73)</f>
        <v>0</v>
      </c>
      <c r="BU73" s="91">
        <f>IF(T73="-","-",VLOOKUP($G73,CTBat!$G$10:$AN$89,BU$9,FALSE)-T73)</f>
        <v>0</v>
      </c>
      <c r="BV73" s="91">
        <f>IF(U73="-","-",VLOOKUP($G73,CTBat!$G$10:$AN$89,BV$9,FALSE)-U73)</f>
        <v>0</v>
      </c>
      <c r="BW73" s="91">
        <f>IF(V73="-","-",VLOOKUP($G73,CTBat!$G$10:$AN$89,BW$9,FALSE)-V73)</f>
        <v>0</v>
      </c>
      <c r="BX73" s="91">
        <f>IF(W73="-","-",VLOOKUP($G73,CTBat!$G$10:$AN$89,BX$9,FALSE)-W73)</f>
        <v>0</v>
      </c>
      <c r="BY73" s="91">
        <f>IF(X73="-","-",VLOOKUP($G73,CTBat!$G$10:$AN$89,BY$9,FALSE)-X73)</f>
        <v>0</v>
      </c>
      <c r="BZ73" s="91">
        <f>IF(Y73="-","-",VLOOKUP($G73,CTBat!$G$10:$AN$89,BZ$9,FALSE)-Y73)</f>
        <v>0</v>
      </c>
      <c r="CA73" s="91">
        <f>IF(Z73="-","-",VLOOKUP($G73,CTBat!$G$10:$AN$89,CA$9,FALSE)-Z73)</f>
        <v>0</v>
      </c>
      <c r="CB73" s="91">
        <f>IF(AA73="-","-",VLOOKUP($G73,CTBat!$G$10:$AN$89,CB$9,FALSE)-AA73)</f>
        <v>0</v>
      </c>
      <c r="CC73" s="91">
        <f>IF(AB73="-","-",VLOOKUP($G73,CTBat!$G$10:$AN$89,CC$9,FALSE)-AB73)</f>
        <v>0</v>
      </c>
      <c r="CD73" s="91">
        <f>IF(AC73="-","-",VLOOKUP($G73,CTBat!$G$10:$AN$89,CD$9,FALSE)-AC73)</f>
        <v>0</v>
      </c>
      <c r="CE73" s="91" t="str">
        <f>IF(AD73="-","-",VLOOKUP($G73,CTBat!$G$10:$AN$89,CE$9,FALSE)-AD73)</f>
        <v>-</v>
      </c>
      <c r="CF73" s="91" t="str">
        <f>IF(AE73="-","-",VLOOKUP($G73,CTBat!$G$10:$AN$89,CF$9,FALSE)-AE73)</f>
        <v>-</v>
      </c>
      <c r="CG73" s="91" t="str">
        <f>IF(AF73="-","-",VLOOKUP($G73,CTBat!$G$10:$AN$89,CG$9,FALSE)-AF73)</f>
        <v>-</v>
      </c>
      <c r="CH73" s="91" t="str">
        <f>IF(AG73="-","-",VLOOKUP($G73,CTBat!$G$10:$AN$89,CH$9,FALSE)-AG73)</f>
        <v>-</v>
      </c>
      <c r="CI73" s="91" t="str">
        <f>IF(AH73="-","-",VLOOKUP($G73,CTBat!$G$10:$AN$89,CI$9,FALSE)-AH73)</f>
        <v>-</v>
      </c>
      <c r="CJ73" s="91">
        <f>IF(AI73="-","-",VLOOKUP($G73,CTBat!$G$10:$AN$89,CJ$9,FALSE)-AI73)</f>
        <v>0</v>
      </c>
      <c r="CK73" s="91">
        <f>IF(AJ73="-","-",VLOOKUP($G73,CTBat!$G$10:$AN$89,CK$9,FALSE)-AJ73)</f>
        <v>0</v>
      </c>
      <c r="CL73" s="91">
        <f>IF(AK73="-","-",VLOOKUP($G73,CTBat!$G$10:$AN$89,CL$9,FALSE)-AK73)</f>
        <v>0</v>
      </c>
      <c r="CM73" s="91">
        <f>IF(AL73="-","-",VLOOKUP($G73,CTBat!$G$10:$AN$89,CM$9,FALSE)-AL73)</f>
        <v>0</v>
      </c>
      <c r="CN73" s="91">
        <f>IF(AM73="-","-",VLOOKUP($G73,CTBat!$G$10:$AN$89,CN$9,FALSE)-AM73)</f>
        <v>0</v>
      </c>
      <c r="CO73" s="91">
        <f>IF(AN73="-","-",VLOOKUP($G73,CTBat!$G$10:$AN$89,CO$9,FALSE)-AN73)</f>
        <v>0</v>
      </c>
      <c r="CP73" s="91">
        <f t="shared" si="78"/>
        <v>0</v>
      </c>
      <c r="CQ73" s="91">
        <f t="shared" si="79"/>
        <v>0</v>
      </c>
      <c r="CR73" s="91">
        <f t="shared" si="80"/>
        <v>0</v>
      </c>
      <c r="CS73" s="91">
        <f t="shared" si="81"/>
        <v>0</v>
      </c>
      <c r="CT73" s="91">
        <f t="shared" si="82"/>
        <v>0</v>
      </c>
    </row>
    <row r="74" spans="1:98">
      <c r="C74" t="str">
        <f t="shared" si="48"/>
        <v>-</v>
      </c>
      <c r="D74" t="str">
        <f t="shared" si="49"/>
        <v>-</v>
      </c>
      <c r="E74" t="str">
        <f t="shared" si="50"/>
        <v>K</v>
      </c>
      <c r="F74" t="s">
        <v>98</v>
      </c>
      <c r="G74" t="s">
        <v>402</v>
      </c>
      <c r="H74" t="s">
        <v>385</v>
      </c>
      <c r="I74" t="s">
        <v>214</v>
      </c>
      <c r="J74">
        <v>24</v>
      </c>
      <c r="K74" t="s">
        <v>107</v>
      </c>
      <c r="L74" t="s">
        <v>107</v>
      </c>
      <c r="M74" t="s">
        <v>47</v>
      </c>
      <c r="N74" s="223" t="s">
        <v>47</v>
      </c>
      <c r="O74" t="s">
        <v>231</v>
      </c>
      <c r="P74" s="223" t="s">
        <v>228</v>
      </c>
      <c r="Q74">
        <v>5</v>
      </c>
      <c r="R74">
        <v>3</v>
      </c>
      <c r="S74">
        <v>1</v>
      </c>
      <c r="T74">
        <v>3</v>
      </c>
      <c r="U74" s="223">
        <v>5</v>
      </c>
      <c r="V74">
        <v>5</v>
      </c>
      <c r="W74">
        <v>3</v>
      </c>
      <c r="X74">
        <v>2</v>
      </c>
      <c r="Y74">
        <v>4</v>
      </c>
      <c r="Z74" s="223">
        <v>5</v>
      </c>
      <c r="AA74">
        <v>7</v>
      </c>
      <c r="AB74">
        <v>1</v>
      </c>
      <c r="AC74">
        <v>1</v>
      </c>
      <c r="AD74" t="s">
        <v>41</v>
      </c>
      <c r="AE74">
        <v>10</v>
      </c>
      <c r="AF74">
        <v>10</v>
      </c>
      <c r="AG74">
        <v>9</v>
      </c>
      <c r="AH74">
        <v>8</v>
      </c>
      <c r="AI74" t="s">
        <v>41</v>
      </c>
      <c r="AJ74" t="s">
        <v>41</v>
      </c>
      <c r="AK74" s="223" t="s">
        <v>41</v>
      </c>
      <c r="AL74">
        <v>6</v>
      </c>
      <c r="AM74">
        <v>8</v>
      </c>
      <c r="AN74" s="223">
        <v>6</v>
      </c>
      <c r="AO74" s="85" t="s">
        <v>41</v>
      </c>
      <c r="AP74" s="223">
        <v>0</v>
      </c>
      <c r="AQ74" s="6">
        <f t="shared" si="51"/>
        <v>2.5</v>
      </c>
      <c r="AR74" s="9" t="str">
        <f t="shared" si="52"/>
        <v>Minors</v>
      </c>
      <c r="AS74" s="6">
        <f t="shared" si="53"/>
        <v>3.1666666666666665</v>
      </c>
      <c r="AT74" s="6" t="str">
        <f t="shared" si="54"/>
        <v>Minors</v>
      </c>
      <c r="AU74" s="9">
        <f t="shared" si="55"/>
        <v>3.1666666666666665</v>
      </c>
      <c r="AV74" s="9" t="str">
        <f t="shared" si="56"/>
        <v>Minors</v>
      </c>
      <c r="AW74" s="53">
        <f t="shared" si="57"/>
        <v>0</v>
      </c>
      <c r="AX74" s="222">
        <f t="shared" si="58"/>
        <v>0</v>
      </c>
      <c r="AY74" s="222">
        <f t="shared" si="59"/>
        <v>0</v>
      </c>
      <c r="AZ74" s="222">
        <f t="shared" si="60"/>
        <v>0</v>
      </c>
      <c r="BA74" s="222">
        <f t="shared" si="61"/>
        <v>0</v>
      </c>
      <c r="BB74" s="222">
        <f t="shared" si="62"/>
        <v>0</v>
      </c>
      <c r="BC74" s="222">
        <f t="shared" si="63"/>
        <v>0</v>
      </c>
      <c r="BD74" s="222">
        <f t="shared" si="64"/>
        <v>0</v>
      </c>
      <c r="BE74" s="223">
        <f t="shared" si="65"/>
        <v>0</v>
      </c>
      <c r="BF74" s="53">
        <f t="shared" si="66"/>
        <v>0</v>
      </c>
      <c r="BG74" s="222">
        <f t="shared" si="67"/>
        <v>0</v>
      </c>
      <c r="BH74" s="222">
        <f t="shared" si="68"/>
        <v>0</v>
      </c>
      <c r="BI74" s="222">
        <f t="shared" si="69"/>
        <v>0</v>
      </c>
      <c r="BJ74" s="222">
        <f t="shared" si="70"/>
        <v>0</v>
      </c>
      <c r="BK74" s="222">
        <f t="shared" si="71"/>
        <v>0</v>
      </c>
      <c r="BL74" s="222">
        <f t="shared" si="72"/>
        <v>0</v>
      </c>
      <c r="BM74" s="222">
        <f t="shared" si="73"/>
        <v>0</v>
      </c>
      <c r="BN74" s="223">
        <f t="shared" si="74"/>
        <v>0</v>
      </c>
      <c r="BO74" s="223">
        <f t="shared" si="75"/>
        <v>1</v>
      </c>
      <c r="BP74" s="7">
        <f t="shared" si="76"/>
        <v>2</v>
      </c>
      <c r="BQ74" t="str">
        <f t="shared" si="77"/>
        <v/>
      </c>
      <c r="BR74" s="91">
        <f>IF(Q74="-","-",VLOOKUP($G74,CTBat!$G$10:$AN$89,BR$9,FALSE)-Q74)</f>
        <v>0</v>
      </c>
      <c r="BS74" s="91">
        <f>IF(R74="-","-",VLOOKUP($G74,CTBat!$G$10:$AN$89,BS$9,FALSE)-R74)</f>
        <v>0</v>
      </c>
      <c r="BT74" s="91">
        <f>IF(S74="-","-",VLOOKUP($G74,CTBat!$G$10:$AN$89,BT$9,FALSE)-S74)</f>
        <v>0</v>
      </c>
      <c r="BU74" s="91">
        <f>IF(T74="-","-",VLOOKUP($G74,CTBat!$G$10:$AN$89,BU$9,FALSE)-T74)</f>
        <v>0</v>
      </c>
      <c r="BV74" s="91">
        <f>IF(U74="-","-",VLOOKUP($G74,CTBat!$G$10:$AN$89,BV$9,FALSE)-U74)</f>
        <v>0</v>
      </c>
      <c r="BW74" s="91">
        <f>IF(V74="-","-",VLOOKUP($G74,CTBat!$G$10:$AN$89,BW$9,FALSE)-V74)</f>
        <v>0</v>
      </c>
      <c r="BX74" s="91">
        <f>IF(W74="-","-",VLOOKUP($G74,CTBat!$G$10:$AN$89,BX$9,FALSE)-W74)</f>
        <v>0</v>
      </c>
      <c r="BY74" s="91">
        <f>IF(X74="-","-",VLOOKUP($G74,CTBat!$G$10:$AN$89,BY$9,FALSE)-X74)</f>
        <v>0</v>
      </c>
      <c r="BZ74" s="91">
        <f>IF(Y74="-","-",VLOOKUP($G74,CTBat!$G$10:$AN$89,BZ$9,FALSE)-Y74)</f>
        <v>0</v>
      </c>
      <c r="CA74" s="91">
        <f>IF(Z74="-","-",VLOOKUP($G74,CTBat!$G$10:$AN$89,CA$9,FALSE)-Z74)</f>
        <v>0</v>
      </c>
      <c r="CB74" s="91">
        <f>IF(AA74="-","-",VLOOKUP($G74,CTBat!$G$10:$AN$89,CB$9,FALSE)-AA74)</f>
        <v>0</v>
      </c>
      <c r="CC74" s="91">
        <f>IF(AB74="-","-",VLOOKUP($G74,CTBat!$G$10:$AN$89,CC$9,FALSE)-AB74)</f>
        <v>0</v>
      </c>
      <c r="CD74" s="91">
        <f>IF(AC74="-","-",VLOOKUP($G74,CTBat!$G$10:$AN$89,CD$9,FALSE)-AC74)</f>
        <v>0</v>
      </c>
      <c r="CE74" s="91" t="str">
        <f>IF(AD74="-","-",VLOOKUP($G74,CTBat!$G$10:$AN$89,CE$9,FALSE)-AD74)</f>
        <v>-</v>
      </c>
      <c r="CF74" s="91">
        <f>IF(AE74="-","-",VLOOKUP($G74,CTBat!$G$10:$AN$89,CF$9,FALSE)-AE74)</f>
        <v>0</v>
      </c>
      <c r="CG74" s="91">
        <f>IF(AF74="-","-",VLOOKUP($G74,CTBat!$G$10:$AN$89,CG$9,FALSE)-AF74)</f>
        <v>0</v>
      </c>
      <c r="CH74" s="91">
        <f>IF(AG74="-","-",VLOOKUP($G74,CTBat!$G$10:$AN$89,CH$9,FALSE)-AG74)</f>
        <v>0</v>
      </c>
      <c r="CI74" s="91">
        <f>IF(AH74="-","-",VLOOKUP($G74,CTBat!$G$10:$AN$89,CI$9,FALSE)-AH74)</f>
        <v>0</v>
      </c>
      <c r="CJ74" s="91" t="str">
        <f>IF(AI74="-","-",VLOOKUP($G74,CTBat!$G$10:$AN$89,CJ$9,FALSE)-AI74)</f>
        <v>-</v>
      </c>
      <c r="CK74" s="91" t="str">
        <f>IF(AJ74="-","-",VLOOKUP($G74,CTBat!$G$10:$AN$89,CK$9,FALSE)-AJ74)</f>
        <v>-</v>
      </c>
      <c r="CL74" s="91" t="str">
        <f>IF(AK74="-","-",VLOOKUP($G74,CTBat!$G$10:$AN$89,CL$9,FALSE)-AK74)</f>
        <v>-</v>
      </c>
      <c r="CM74" s="91">
        <f>IF(AL74="-","-",VLOOKUP($G74,CTBat!$G$10:$AN$89,CM$9,FALSE)-AL74)</f>
        <v>0</v>
      </c>
      <c r="CN74" s="91">
        <f>IF(AM74="-","-",VLOOKUP($G74,CTBat!$G$10:$AN$89,CN$9,FALSE)-AM74)</f>
        <v>0</v>
      </c>
      <c r="CO74" s="91">
        <f>IF(AN74="-","-",VLOOKUP($G74,CTBat!$G$10:$AN$89,CO$9,FALSE)-AN74)</f>
        <v>0</v>
      </c>
      <c r="CP74" s="91">
        <f t="shared" si="78"/>
        <v>0</v>
      </c>
      <c r="CQ74" s="91">
        <f t="shared" si="79"/>
        <v>0</v>
      </c>
      <c r="CR74" s="91">
        <f t="shared" si="80"/>
        <v>0</v>
      </c>
      <c r="CS74" s="91">
        <f t="shared" si="81"/>
        <v>0</v>
      </c>
      <c r="CT74" s="91">
        <f t="shared" si="82"/>
        <v>0</v>
      </c>
    </row>
    <row r="75" spans="1:98">
      <c r="C75">
        <f t="shared" ref="C75:C88" si="83">IF(BH75=1,3,IF(BI75=1,4,IF(BF75=1,1,IF(BJ75=1,5,IF(BG75=1,2,IF(BK75=1,6,IF(BL75=1,7,IF(BM75=1,8,IF(BN75=1,9,"-")))))))))</f>
        <v>8</v>
      </c>
      <c r="D75" t="str">
        <f t="shared" ref="D75:D88" si="84">IF(AY75=1,3,IF(AZ75=1,4,IF(AW75=1,1,IF(BA75=1,5,IF(AX75=1,2,IF(BB75=1,6,IF(BC75=1,7,IF(BD75=1,8,IF(BE75=1,9,"-")))))))))</f>
        <v>-</v>
      </c>
      <c r="E75" t="str">
        <f t="shared" ref="E75:E88" si="85">IF(OR(O75&gt;7,AND(O75&gt;4,P75&gt;5)),"K","T")</f>
        <v>K</v>
      </c>
      <c r="F75" t="s">
        <v>102</v>
      </c>
      <c r="G75" t="s">
        <v>549</v>
      </c>
      <c r="H75" t="s">
        <v>383</v>
      </c>
      <c r="I75" t="s">
        <v>327</v>
      </c>
      <c r="J75">
        <v>18</v>
      </c>
      <c r="K75" t="s">
        <v>107</v>
      </c>
      <c r="L75" t="s">
        <v>107</v>
      </c>
      <c r="M75" t="s">
        <v>47</v>
      </c>
      <c r="N75" s="223" t="s">
        <v>47</v>
      </c>
      <c r="O75" t="s">
        <v>230</v>
      </c>
      <c r="P75" s="223" t="s">
        <v>230</v>
      </c>
      <c r="Q75">
        <v>1</v>
      </c>
      <c r="R75">
        <v>3</v>
      </c>
      <c r="S75">
        <v>1</v>
      </c>
      <c r="T75">
        <v>2</v>
      </c>
      <c r="U75" s="223">
        <v>1</v>
      </c>
      <c r="V75">
        <v>5</v>
      </c>
      <c r="W75">
        <v>9</v>
      </c>
      <c r="X75">
        <v>2</v>
      </c>
      <c r="Y75">
        <v>4</v>
      </c>
      <c r="Z75" s="223">
        <v>4</v>
      </c>
      <c r="AA75">
        <v>1</v>
      </c>
      <c r="AB75">
        <v>7</v>
      </c>
      <c r="AC75">
        <v>1</v>
      </c>
      <c r="AD75" t="s">
        <v>41</v>
      </c>
      <c r="AE75" t="s">
        <v>41</v>
      </c>
      <c r="AF75" t="s">
        <v>41</v>
      </c>
      <c r="AG75" t="s">
        <v>41</v>
      </c>
      <c r="AH75" t="s">
        <v>41</v>
      </c>
      <c r="AI75">
        <v>1</v>
      </c>
      <c r="AJ75">
        <v>2</v>
      </c>
      <c r="AK75" s="223">
        <v>1</v>
      </c>
      <c r="AL75">
        <v>8</v>
      </c>
      <c r="AM75">
        <v>9</v>
      </c>
      <c r="AN75" s="223">
        <v>10</v>
      </c>
      <c r="AO75" t="s">
        <v>41</v>
      </c>
      <c r="AP75" s="223" t="s">
        <v>45</v>
      </c>
      <c r="AQ75" s="6">
        <f t="shared" ref="AQ75:AQ88" si="86">AVERAGE(Q75,S75,T75)+IF(OR(Q75&gt;7,AND(Q75&gt;5,T75&gt;5)),0.5,0)+IF(S75&gt;7,0.25,0)+IF(Q75&lt;6,-0.5*(6-Q75),0)</f>
        <v>-1.1666666666666667</v>
      </c>
      <c r="AR75" s="9" t="str">
        <f t="shared" ref="AR75:AR88" si="87">IF(AQ75&gt;9,"SuperStar",IF(AQ75&gt;8,"Star",IF(AQ75&gt;6.5,"GoodReg",IF(AQ75&gt;5,"Reg",IF(AQ75&gt;4,"Bench","Minors")))))</f>
        <v>Minors</v>
      </c>
      <c r="AS75" s="6">
        <f t="shared" ref="AS75:AS88" si="88">AVERAGE(V75,X75,Y75)+IF(OR(V75&gt;7,AND(V75&gt;5,Y75&gt;5)),0.5,0)+IF(X75&gt;7,0.25,0)+IF(V75&lt;6,-0.5*(6-V75),0)</f>
        <v>3.1666666666666665</v>
      </c>
      <c r="AT75" s="6" t="str">
        <f t="shared" ref="AT75:AT88" si="89">IF(AS75&gt;9,"SuperStar",IF(AS75&gt;8,"Star",IF(AS75&gt;6.5,"GoodReg",IF(AS75&gt;5,"Reg",IF(AS75&gt;4,"Bench","Minors")))))</f>
        <v>Minors</v>
      </c>
      <c r="AU75" s="9">
        <f t="shared" ref="AU75:AU88" si="90">MIN(AQ75+(MAX(0,25-J75))^1.5,AS75)</f>
        <v>3.1666666666666665</v>
      </c>
      <c r="AV75" s="9" t="str">
        <f t="shared" ref="AV75:AV88" si="91">IF(AU75&gt;9,"SuperStar",IF(AU75&gt;8,"Star",IF(AU75&gt;6.5,"GoodReg",IF(AU75&gt;5,"Reg",IF(AU75&gt;4,"Bench","Minors")))))</f>
        <v>Minors</v>
      </c>
      <c r="AW75" s="53">
        <f t="shared" ref="AW75:AW88" si="92">IF(AND(OR(Q75+T75&gt;12,AND(Q75&gt;6,T75&gt;6)),AL75&gt;6,OR(AM75&gt;=AL75,AM75&gt;6)),1,0)</f>
        <v>0</v>
      </c>
      <c r="AX75" s="222">
        <f t="shared" ref="AX75:AX88" si="93">IF(OR(AND(Q75&gt;6,U75&gt;6),Q75+T75&gt;12),1,0)</f>
        <v>0</v>
      </c>
      <c r="AY75" s="222">
        <f t="shared" ref="AY75:AY88" si="94">IF(AND(Q75&gt;6,S75&gt;6,T75&gt;6),1,0)</f>
        <v>0</v>
      </c>
      <c r="AZ75" s="222">
        <f t="shared" ref="AZ75:AZ88" si="95">IF(AND(S75&gt;7,OR(Q75&gt;6,T75&gt;6)),1,0)</f>
        <v>0</v>
      </c>
      <c r="BA75" s="222">
        <f t="shared" ref="BA75:BA88" si="96">IF(AND(S75&gt;6,OR(Q75&gt;6,T75&gt;6)),1,0)</f>
        <v>0</v>
      </c>
      <c r="BB75" s="222">
        <f t="shared" ref="BB75:BB88" si="97">IF(AND(OR(Q75&gt;6,S75&gt;6),OR(Q75&gt;6,T75&gt;6)),1,0)</f>
        <v>0</v>
      </c>
      <c r="BC75" s="222">
        <f t="shared" ref="BC75:BC88" si="98">IF(AND(Q75&gt;4,OR(Q75&gt;6,S75&gt;6,T75&gt;6)),1,0)</f>
        <v>0</v>
      </c>
      <c r="BD75" s="222">
        <f t="shared" ref="BD75:BD88" si="99">IF(AND(Q75&gt;4,OR(Q75&gt;6,R75&gt;6,S75&gt;6,T75&gt;6)),1,0)</f>
        <v>0</v>
      </c>
      <c r="BE75" s="223">
        <f t="shared" ref="BE75:BE88" si="100">IF(AND(Q75&gt;4,MAX(Q75:U75)&gt;6),1,0)</f>
        <v>0</v>
      </c>
      <c r="BF75" s="53">
        <f t="shared" ref="BF75:BF88" si="101">IF(AND(OR(V75+Y75&gt;12,AND(V75&gt;6,Y75&gt;6)),AL75&gt;6,OR(AM75&gt;=AL75,AM75&gt;6)),1,0)</f>
        <v>0</v>
      </c>
      <c r="BG75" s="222">
        <f t="shared" ref="BG75:BG88" si="102">IF(OR(AND(V75&gt;6,Z75&gt;6),V75+Y75&gt;12),1,0)</f>
        <v>0</v>
      </c>
      <c r="BH75" s="222">
        <f t="shared" ref="BH75:BH88" si="103">IF(AND(V75&gt;6,X75&gt;6,Y75&gt;6),1,0)</f>
        <v>0</v>
      </c>
      <c r="BI75" s="222">
        <f t="shared" ref="BI75:BI88" si="104">IF(AND(X75&gt;7,OR(V75&gt;6,Y75&gt;6)),1,0)</f>
        <v>0</v>
      </c>
      <c r="BJ75" s="222">
        <f t="shared" ref="BJ75:BJ88" si="105">IF(AND(X75&gt;6,OR(V75&gt;6,Y75&gt;6)),1,0)</f>
        <v>0</v>
      </c>
      <c r="BK75" s="222">
        <f t="shared" ref="BK75:BK88" si="106">IF(AND(OR(V75&gt;6,X75&gt;6),OR(V75&gt;6,Y75&gt;6)),1,0)</f>
        <v>0</v>
      </c>
      <c r="BL75" s="222">
        <f t="shared" ref="BL75:BL88" si="107">IF(AND(V75&gt;4,OR(V75&gt;6,X75&gt;6,Y75&gt;6)),1,0)</f>
        <v>0</v>
      </c>
      <c r="BM75" s="222">
        <f t="shared" ref="BM75:BM88" si="108">IF(AND(V75&gt;4,OR(V75&gt;6,W75&gt;6,X75&gt;6,Y75&gt;6)),1,0)</f>
        <v>1</v>
      </c>
      <c r="BN75" s="223">
        <f t="shared" ref="BN75:BN88" si="109">IF(AND(V75&gt;4,MAX(V75:Z75)&gt;6),1,0)</f>
        <v>1</v>
      </c>
      <c r="BO75" s="223">
        <f t="shared" ref="BO75:BO88" si="110">IF(AVERAGE(AL75:AM75)&gt;9,1,0)+IF(AVERAGE(AL75:AM75)&gt;7,1,0)+IF(AL75&gt;7,1,0)+IF(AM75&gt;7,1,0)+IF(AN75&gt;8,1,0)+IF(AN75&gt;6,1,0)</f>
        <v>5</v>
      </c>
      <c r="BP75" s="7">
        <f t="shared" ref="BP75:BP88" si="111">IF(OR(MAX(AD75,AE75,AI75,AK75)&gt;6,MAX(AF75,AG75,AH75,AJ75)&gt;7),2,IF(MAX(AD75:AK75)&gt;4,1,0))</f>
        <v>0</v>
      </c>
      <c r="BQ75" t="str">
        <f t="shared" ref="BQ75:BQ88" si="112">IF(AP75=1,"Yes","")</f>
        <v/>
      </c>
      <c r="BR75" s="91">
        <f>IF(Q75="-","-",VLOOKUP($G75,CTBat!$G$10:$AN$89,BR$9,FALSE)-Q75)</f>
        <v>0</v>
      </c>
      <c r="BS75" s="91">
        <f>IF(R75="-","-",VLOOKUP($G75,CTBat!$G$10:$AN$89,BS$9,FALSE)-R75)</f>
        <v>0</v>
      </c>
      <c r="BT75" s="91">
        <f>IF(S75="-","-",VLOOKUP($G75,CTBat!$G$10:$AN$89,BT$9,FALSE)-S75)</f>
        <v>0</v>
      </c>
      <c r="BU75" s="91">
        <f>IF(T75="-","-",VLOOKUP($G75,CTBat!$G$10:$AN$89,BU$9,FALSE)-T75)</f>
        <v>0</v>
      </c>
      <c r="BV75" s="91">
        <f>IF(U75="-","-",VLOOKUP($G75,CTBat!$G$10:$AN$89,BV$9,FALSE)-U75)</f>
        <v>0</v>
      </c>
      <c r="BW75" s="91">
        <f>IF(V75="-","-",VLOOKUP($G75,CTBat!$G$10:$AN$89,BW$9,FALSE)-V75)</f>
        <v>0</v>
      </c>
      <c r="BX75" s="91">
        <f>IF(W75="-","-",VLOOKUP($G75,CTBat!$G$10:$AN$89,BX$9,FALSE)-W75)</f>
        <v>0</v>
      </c>
      <c r="BY75" s="91">
        <f>IF(X75="-","-",VLOOKUP($G75,CTBat!$G$10:$AN$89,BY$9,FALSE)-X75)</f>
        <v>0</v>
      </c>
      <c r="BZ75" s="91">
        <f>IF(Y75="-","-",VLOOKUP($G75,CTBat!$G$10:$AN$89,BZ$9,FALSE)-Y75)</f>
        <v>0</v>
      </c>
      <c r="CA75" s="91">
        <f>IF(Z75="-","-",VLOOKUP($G75,CTBat!$G$10:$AN$89,CA$9,FALSE)-Z75)</f>
        <v>0</v>
      </c>
      <c r="CB75" s="91">
        <f>IF(AA75="-","-",VLOOKUP($G75,CTBat!$G$10:$AN$89,CB$9,FALSE)-AA75)</f>
        <v>0</v>
      </c>
      <c r="CC75" s="91">
        <f>IF(AB75="-","-",VLOOKUP($G75,CTBat!$G$10:$AN$89,CC$9,FALSE)-AB75)</f>
        <v>0</v>
      </c>
      <c r="CD75" s="91">
        <f>IF(AC75="-","-",VLOOKUP($G75,CTBat!$G$10:$AN$89,CD$9,FALSE)-AC75)</f>
        <v>0</v>
      </c>
      <c r="CE75" s="91" t="str">
        <f>IF(AD75="-","-",VLOOKUP($G75,CTBat!$G$10:$AN$89,CE$9,FALSE)-AD75)</f>
        <v>-</v>
      </c>
      <c r="CF75" s="91" t="str">
        <f>IF(AE75="-","-",VLOOKUP($G75,CTBat!$G$10:$AN$89,CF$9,FALSE)-AE75)</f>
        <v>-</v>
      </c>
      <c r="CG75" s="91" t="str">
        <f>IF(AF75="-","-",VLOOKUP($G75,CTBat!$G$10:$AN$89,CG$9,FALSE)-AF75)</f>
        <v>-</v>
      </c>
      <c r="CH75" s="91" t="str">
        <f>IF(AG75="-","-",VLOOKUP($G75,CTBat!$G$10:$AN$89,CH$9,FALSE)-AG75)</f>
        <v>-</v>
      </c>
      <c r="CI75" s="91" t="str">
        <f>IF(AH75="-","-",VLOOKUP($G75,CTBat!$G$10:$AN$89,CI$9,FALSE)-AH75)</f>
        <v>-</v>
      </c>
      <c r="CJ75" s="91">
        <f>IF(AI75="-","-",VLOOKUP($G75,CTBat!$G$10:$AN$89,CJ$9,FALSE)-AI75)</f>
        <v>0</v>
      </c>
      <c r="CK75" s="91">
        <f>IF(AJ75="-","-",VLOOKUP($G75,CTBat!$G$10:$AN$89,CK$9,FALSE)-AJ75)</f>
        <v>0</v>
      </c>
      <c r="CL75" s="91">
        <f>IF(AK75="-","-",VLOOKUP($G75,CTBat!$G$10:$AN$89,CL$9,FALSE)-AK75)</f>
        <v>0</v>
      </c>
      <c r="CM75" s="91">
        <f>IF(AL75="-","-",VLOOKUP($G75,CTBat!$G$10:$AN$89,CM$9,FALSE)-AL75)</f>
        <v>0</v>
      </c>
      <c r="CN75" s="91">
        <f>IF(AM75="-","-",VLOOKUP($G75,CTBat!$G$10:$AN$89,CN$9,FALSE)-AM75)</f>
        <v>0</v>
      </c>
      <c r="CO75" s="91">
        <f>IF(AN75="-","-",VLOOKUP($G75,CTBat!$G$10:$AN$89,CO$9,FALSE)-AN75)</f>
        <v>0</v>
      </c>
      <c r="CP75" s="91">
        <f t="shared" ref="CP75:CP88" si="113">SUM(BR75:BV75)</f>
        <v>0</v>
      </c>
      <c r="CQ75" s="91">
        <f t="shared" ref="CQ75:CQ88" si="114">SUM(BW75:CA75)</f>
        <v>0</v>
      </c>
      <c r="CR75" s="91">
        <f t="shared" ref="CR75:CR88" si="115">SUM(CB75:CL75)</f>
        <v>0</v>
      </c>
      <c r="CS75" s="91">
        <f t="shared" ref="CS75:CS88" si="116">SUM(CM75:CO75)</f>
        <v>0</v>
      </c>
      <c r="CT75" s="91">
        <f t="shared" ref="CT75:CT88" si="117">SUM(CP75:CS75)</f>
        <v>0</v>
      </c>
    </row>
    <row r="76" spans="1:98">
      <c r="C76" t="str">
        <f t="shared" si="83"/>
        <v>-</v>
      </c>
      <c r="D76" t="str">
        <f t="shared" si="84"/>
        <v>-</v>
      </c>
      <c r="E76" t="str">
        <f t="shared" si="85"/>
        <v>K</v>
      </c>
      <c r="F76" t="s">
        <v>95</v>
      </c>
      <c r="G76" t="s">
        <v>55</v>
      </c>
      <c r="H76" t="s">
        <v>385</v>
      </c>
      <c r="I76" t="s">
        <v>214</v>
      </c>
      <c r="J76">
        <v>27</v>
      </c>
      <c r="K76" t="s">
        <v>107</v>
      </c>
      <c r="L76" t="s">
        <v>107</v>
      </c>
      <c r="M76" t="s">
        <v>47</v>
      </c>
      <c r="N76" s="223" t="s">
        <v>47</v>
      </c>
      <c r="O76" t="s">
        <v>230</v>
      </c>
      <c r="P76" s="223" t="s">
        <v>230</v>
      </c>
      <c r="Q76">
        <v>4</v>
      </c>
      <c r="R76">
        <v>4</v>
      </c>
      <c r="S76">
        <v>4</v>
      </c>
      <c r="T76">
        <v>4</v>
      </c>
      <c r="U76" s="223">
        <v>5</v>
      </c>
      <c r="V76">
        <v>4</v>
      </c>
      <c r="W76">
        <v>4</v>
      </c>
      <c r="X76">
        <v>4</v>
      </c>
      <c r="Y76">
        <v>4</v>
      </c>
      <c r="Z76" s="223">
        <v>5</v>
      </c>
      <c r="AA76">
        <v>10</v>
      </c>
      <c r="AB76">
        <v>10</v>
      </c>
      <c r="AC76">
        <v>9</v>
      </c>
      <c r="AD76">
        <v>10</v>
      </c>
      <c r="AE76">
        <v>1</v>
      </c>
      <c r="AF76" t="s">
        <v>41</v>
      </c>
      <c r="AG76" t="s">
        <v>41</v>
      </c>
      <c r="AH76" t="s">
        <v>41</v>
      </c>
      <c r="AI76" t="s">
        <v>41</v>
      </c>
      <c r="AJ76" t="s">
        <v>41</v>
      </c>
      <c r="AK76" s="223" t="s">
        <v>41</v>
      </c>
      <c r="AL76">
        <v>1</v>
      </c>
      <c r="AM76">
        <v>1</v>
      </c>
      <c r="AN76" s="223">
        <v>1</v>
      </c>
      <c r="AO76" s="85" t="s">
        <v>41</v>
      </c>
      <c r="AP76" s="223">
        <v>0</v>
      </c>
      <c r="AQ76" s="6">
        <f t="shared" si="86"/>
        <v>3</v>
      </c>
      <c r="AR76" s="9" t="str">
        <f t="shared" si="87"/>
        <v>Minors</v>
      </c>
      <c r="AS76" s="6">
        <f t="shared" si="88"/>
        <v>3</v>
      </c>
      <c r="AT76" s="6" t="str">
        <f t="shared" si="89"/>
        <v>Minors</v>
      </c>
      <c r="AU76" s="9">
        <f t="shared" si="90"/>
        <v>3</v>
      </c>
      <c r="AV76" s="9" t="str">
        <f t="shared" si="91"/>
        <v>Minors</v>
      </c>
      <c r="AW76" s="53">
        <f t="shared" si="92"/>
        <v>0</v>
      </c>
      <c r="AX76" s="222">
        <f t="shared" si="93"/>
        <v>0</v>
      </c>
      <c r="AY76" s="222">
        <f t="shared" si="94"/>
        <v>0</v>
      </c>
      <c r="AZ76" s="222">
        <f t="shared" si="95"/>
        <v>0</v>
      </c>
      <c r="BA76" s="222">
        <f t="shared" si="96"/>
        <v>0</v>
      </c>
      <c r="BB76" s="222">
        <f t="shared" si="97"/>
        <v>0</v>
      </c>
      <c r="BC76" s="222">
        <f t="shared" si="98"/>
        <v>0</v>
      </c>
      <c r="BD76" s="222">
        <f t="shared" si="99"/>
        <v>0</v>
      </c>
      <c r="BE76" s="223">
        <f t="shared" si="100"/>
        <v>0</v>
      </c>
      <c r="BF76" s="53">
        <f t="shared" si="101"/>
        <v>0</v>
      </c>
      <c r="BG76" s="222">
        <f t="shared" si="102"/>
        <v>0</v>
      </c>
      <c r="BH76" s="222">
        <f t="shared" si="103"/>
        <v>0</v>
      </c>
      <c r="BI76" s="222">
        <f t="shared" si="104"/>
        <v>0</v>
      </c>
      <c r="BJ76" s="222">
        <f t="shared" si="105"/>
        <v>0</v>
      </c>
      <c r="BK76" s="222">
        <f t="shared" si="106"/>
        <v>0</v>
      </c>
      <c r="BL76" s="222">
        <f t="shared" si="107"/>
        <v>0</v>
      </c>
      <c r="BM76" s="222">
        <f t="shared" si="108"/>
        <v>0</v>
      </c>
      <c r="BN76" s="223">
        <f t="shared" si="109"/>
        <v>0</v>
      </c>
      <c r="BO76" s="223">
        <f t="shared" si="110"/>
        <v>0</v>
      </c>
      <c r="BP76" s="7">
        <f t="shared" si="111"/>
        <v>2</v>
      </c>
      <c r="BQ76" t="str">
        <f t="shared" si="112"/>
        <v/>
      </c>
      <c r="BR76" s="91" t="e">
        <f>IF(Q76="-","-",VLOOKUP($G76,CTBat!$G$10:$AN$89,BR$9,FALSE)-Q76)</f>
        <v>#N/A</v>
      </c>
      <c r="BS76" s="91" t="e">
        <f>IF(R76="-","-",VLOOKUP($G76,CTBat!$G$10:$AN$89,BS$9,FALSE)-R76)</f>
        <v>#N/A</v>
      </c>
      <c r="BT76" s="91" t="e">
        <f>IF(S76="-","-",VLOOKUP($G76,CTBat!$G$10:$AN$89,BT$9,FALSE)-S76)</f>
        <v>#N/A</v>
      </c>
      <c r="BU76" s="91" t="e">
        <f>IF(T76="-","-",VLOOKUP($G76,CTBat!$G$10:$AN$89,BU$9,FALSE)-T76)</f>
        <v>#N/A</v>
      </c>
      <c r="BV76" s="91" t="e">
        <f>IF(U76="-","-",VLOOKUP($G76,CTBat!$G$10:$AN$89,BV$9,FALSE)-U76)</f>
        <v>#N/A</v>
      </c>
      <c r="BW76" s="91" t="e">
        <f>IF(V76="-","-",VLOOKUP($G76,CTBat!$G$10:$AN$89,BW$9,FALSE)-V76)</f>
        <v>#N/A</v>
      </c>
      <c r="BX76" s="91" t="e">
        <f>IF(W76="-","-",VLOOKUP($G76,CTBat!$G$10:$AN$89,BX$9,FALSE)-W76)</f>
        <v>#N/A</v>
      </c>
      <c r="BY76" s="91" t="e">
        <f>IF(X76="-","-",VLOOKUP($G76,CTBat!$G$10:$AN$89,BY$9,FALSE)-X76)</f>
        <v>#N/A</v>
      </c>
      <c r="BZ76" s="91" t="e">
        <f>IF(Y76="-","-",VLOOKUP($G76,CTBat!$G$10:$AN$89,BZ$9,FALSE)-Y76)</f>
        <v>#N/A</v>
      </c>
      <c r="CA76" s="91" t="e">
        <f>IF(Z76="-","-",VLOOKUP($G76,CTBat!$G$10:$AN$89,CA$9,FALSE)-Z76)</f>
        <v>#N/A</v>
      </c>
      <c r="CB76" s="91" t="e">
        <f>IF(AA76="-","-",VLOOKUP($G76,CTBat!$G$10:$AN$89,CB$9,FALSE)-AA76)</f>
        <v>#N/A</v>
      </c>
      <c r="CC76" s="91" t="e">
        <f>IF(AB76="-","-",VLOOKUP($G76,CTBat!$G$10:$AN$89,CC$9,FALSE)-AB76)</f>
        <v>#N/A</v>
      </c>
      <c r="CD76" s="91" t="e">
        <f>IF(AC76="-","-",VLOOKUP($G76,CTBat!$G$10:$AN$89,CD$9,FALSE)-AC76)</f>
        <v>#N/A</v>
      </c>
      <c r="CE76" s="91" t="e">
        <f>IF(AD76="-","-",VLOOKUP($G76,CTBat!$G$10:$AN$89,CE$9,FALSE)-AD76)</f>
        <v>#N/A</v>
      </c>
      <c r="CF76" s="91" t="e">
        <f>IF(AE76="-","-",VLOOKUP($G76,CTBat!$G$10:$AN$89,CF$9,FALSE)-AE76)</f>
        <v>#N/A</v>
      </c>
      <c r="CG76" s="91" t="str">
        <f>IF(AF76="-","-",VLOOKUP($G76,CTBat!$G$10:$AN$89,CG$9,FALSE)-AF76)</f>
        <v>-</v>
      </c>
      <c r="CH76" s="91" t="str">
        <f>IF(AG76="-","-",VLOOKUP($G76,CTBat!$G$10:$AN$89,CH$9,FALSE)-AG76)</f>
        <v>-</v>
      </c>
      <c r="CI76" s="91" t="str">
        <f>IF(AH76="-","-",VLOOKUP($G76,CTBat!$G$10:$AN$89,CI$9,FALSE)-AH76)</f>
        <v>-</v>
      </c>
      <c r="CJ76" s="91" t="str">
        <f>IF(AI76="-","-",VLOOKUP($G76,CTBat!$G$10:$AN$89,CJ$9,FALSE)-AI76)</f>
        <v>-</v>
      </c>
      <c r="CK76" s="91" t="str">
        <f>IF(AJ76="-","-",VLOOKUP($G76,CTBat!$G$10:$AN$89,CK$9,FALSE)-AJ76)</f>
        <v>-</v>
      </c>
      <c r="CL76" s="91" t="str">
        <f>IF(AK76="-","-",VLOOKUP($G76,CTBat!$G$10:$AN$89,CL$9,FALSE)-AK76)</f>
        <v>-</v>
      </c>
      <c r="CM76" s="91" t="e">
        <f>IF(AL76="-","-",VLOOKUP($G76,CTBat!$G$10:$AN$89,CM$9,FALSE)-AL76)</f>
        <v>#N/A</v>
      </c>
      <c r="CN76" s="91" t="e">
        <f>IF(AM76="-","-",VLOOKUP($G76,CTBat!$G$10:$AN$89,CN$9,FALSE)-AM76)</f>
        <v>#N/A</v>
      </c>
      <c r="CO76" s="91" t="e">
        <f>IF(AN76="-","-",VLOOKUP($G76,CTBat!$G$10:$AN$89,CO$9,FALSE)-AN76)</f>
        <v>#N/A</v>
      </c>
      <c r="CP76" s="91" t="e">
        <f t="shared" si="113"/>
        <v>#N/A</v>
      </c>
      <c r="CQ76" s="91" t="e">
        <f t="shared" si="114"/>
        <v>#N/A</v>
      </c>
      <c r="CR76" s="91" t="e">
        <f t="shared" si="115"/>
        <v>#N/A</v>
      </c>
      <c r="CS76" s="91" t="e">
        <f t="shared" si="116"/>
        <v>#N/A</v>
      </c>
      <c r="CT76" s="91" t="e">
        <f t="shared" si="117"/>
        <v>#N/A</v>
      </c>
    </row>
    <row r="77" spans="1:98">
      <c r="C77" t="str">
        <f t="shared" si="83"/>
        <v>-</v>
      </c>
      <c r="D77" t="str">
        <f t="shared" si="84"/>
        <v>-</v>
      </c>
      <c r="E77" t="str">
        <f t="shared" si="85"/>
        <v>K</v>
      </c>
      <c r="F77" t="s">
        <v>102</v>
      </c>
      <c r="G77" t="s">
        <v>430</v>
      </c>
      <c r="H77" t="s">
        <v>383</v>
      </c>
      <c r="I77" t="s">
        <v>327</v>
      </c>
      <c r="J77">
        <v>23</v>
      </c>
      <c r="K77" t="s">
        <v>107</v>
      </c>
      <c r="L77" t="s">
        <v>107</v>
      </c>
      <c r="M77" t="s">
        <v>47</v>
      </c>
      <c r="N77" s="223" t="s">
        <v>47</v>
      </c>
      <c r="O77" t="s">
        <v>231</v>
      </c>
      <c r="P77" s="223" t="s">
        <v>228</v>
      </c>
      <c r="Q77">
        <v>5</v>
      </c>
      <c r="R77">
        <v>2</v>
      </c>
      <c r="S77">
        <v>1</v>
      </c>
      <c r="T77">
        <v>3</v>
      </c>
      <c r="U77" s="223">
        <v>4</v>
      </c>
      <c r="V77">
        <v>5</v>
      </c>
      <c r="W77">
        <v>2</v>
      </c>
      <c r="X77">
        <v>1</v>
      </c>
      <c r="Y77">
        <v>4</v>
      </c>
      <c r="Z77" s="223">
        <v>4</v>
      </c>
      <c r="AA77">
        <v>1</v>
      </c>
      <c r="AB77">
        <v>7</v>
      </c>
      <c r="AC77">
        <v>1</v>
      </c>
      <c r="AD77" t="s">
        <v>41</v>
      </c>
      <c r="AE77">
        <v>1</v>
      </c>
      <c r="AF77" t="s">
        <v>41</v>
      </c>
      <c r="AG77" t="s">
        <v>41</v>
      </c>
      <c r="AH77" t="s">
        <v>41</v>
      </c>
      <c r="AI77">
        <v>9</v>
      </c>
      <c r="AJ77">
        <v>10</v>
      </c>
      <c r="AK77" s="223">
        <v>8</v>
      </c>
      <c r="AL77">
        <v>8</v>
      </c>
      <c r="AM77">
        <v>6</v>
      </c>
      <c r="AN77" s="223">
        <v>7</v>
      </c>
      <c r="AO77" s="85" t="s">
        <v>41</v>
      </c>
      <c r="AP77" s="223" t="s">
        <v>45</v>
      </c>
      <c r="AQ77" s="6">
        <f t="shared" si="86"/>
        <v>2.5</v>
      </c>
      <c r="AR77" s="9" t="str">
        <f t="shared" si="87"/>
        <v>Minors</v>
      </c>
      <c r="AS77" s="6">
        <f t="shared" si="88"/>
        <v>2.8333333333333335</v>
      </c>
      <c r="AT77" s="6" t="str">
        <f t="shared" si="89"/>
        <v>Minors</v>
      </c>
      <c r="AU77" s="9">
        <f t="shared" si="90"/>
        <v>2.8333333333333335</v>
      </c>
      <c r="AV77" s="9" t="str">
        <f t="shared" si="91"/>
        <v>Minors</v>
      </c>
      <c r="AW77" s="53">
        <f t="shared" si="92"/>
        <v>0</v>
      </c>
      <c r="AX77" s="222">
        <f t="shared" si="93"/>
        <v>0</v>
      </c>
      <c r="AY77" s="222">
        <f t="shared" si="94"/>
        <v>0</v>
      </c>
      <c r="AZ77" s="222">
        <f t="shared" si="95"/>
        <v>0</v>
      </c>
      <c r="BA77" s="222">
        <f t="shared" si="96"/>
        <v>0</v>
      </c>
      <c r="BB77" s="222">
        <f t="shared" si="97"/>
        <v>0</v>
      </c>
      <c r="BC77" s="222">
        <f t="shared" si="98"/>
        <v>0</v>
      </c>
      <c r="BD77" s="222">
        <f t="shared" si="99"/>
        <v>0</v>
      </c>
      <c r="BE77" s="223">
        <f t="shared" si="100"/>
        <v>0</v>
      </c>
      <c r="BF77" s="53">
        <f t="shared" si="101"/>
        <v>0</v>
      </c>
      <c r="BG77" s="222">
        <f t="shared" si="102"/>
        <v>0</v>
      </c>
      <c r="BH77" s="222">
        <f t="shared" si="103"/>
        <v>0</v>
      </c>
      <c r="BI77" s="222">
        <f t="shared" si="104"/>
        <v>0</v>
      </c>
      <c r="BJ77" s="222">
        <f t="shared" si="105"/>
        <v>0</v>
      </c>
      <c r="BK77" s="222">
        <f t="shared" si="106"/>
        <v>0</v>
      </c>
      <c r="BL77" s="222">
        <f t="shared" si="107"/>
        <v>0</v>
      </c>
      <c r="BM77" s="222">
        <f t="shared" si="108"/>
        <v>0</v>
      </c>
      <c r="BN77" s="223">
        <f t="shared" si="109"/>
        <v>0</v>
      </c>
      <c r="BO77" s="223">
        <f t="shared" si="110"/>
        <v>2</v>
      </c>
      <c r="BP77" s="7">
        <f t="shared" si="111"/>
        <v>2</v>
      </c>
      <c r="BQ77" t="str">
        <f t="shared" si="112"/>
        <v/>
      </c>
      <c r="BR77" s="91">
        <f>IF(Q77="-","-",VLOOKUP($G77,CTBat!$G$10:$AN$89,BR$9,FALSE)-Q77)</f>
        <v>0</v>
      </c>
      <c r="BS77" s="91">
        <f>IF(R77="-","-",VLOOKUP($G77,CTBat!$G$10:$AN$89,BS$9,FALSE)-R77)</f>
        <v>0</v>
      </c>
      <c r="BT77" s="91">
        <f>IF(S77="-","-",VLOOKUP($G77,CTBat!$G$10:$AN$89,BT$9,FALSE)-S77)</f>
        <v>0</v>
      </c>
      <c r="BU77" s="91">
        <f>IF(T77="-","-",VLOOKUP($G77,CTBat!$G$10:$AN$89,BU$9,FALSE)-T77)</f>
        <v>0</v>
      </c>
      <c r="BV77" s="91">
        <f>IF(U77="-","-",VLOOKUP($G77,CTBat!$G$10:$AN$89,BV$9,FALSE)-U77)</f>
        <v>0</v>
      </c>
      <c r="BW77" s="91">
        <f>IF(V77="-","-",VLOOKUP($G77,CTBat!$G$10:$AN$89,BW$9,FALSE)-V77)</f>
        <v>0</v>
      </c>
      <c r="BX77" s="91">
        <f>IF(W77="-","-",VLOOKUP($G77,CTBat!$G$10:$AN$89,BX$9,FALSE)-W77)</f>
        <v>0</v>
      </c>
      <c r="BY77" s="91">
        <f>IF(X77="-","-",VLOOKUP($G77,CTBat!$G$10:$AN$89,BY$9,FALSE)-X77)</f>
        <v>0</v>
      </c>
      <c r="BZ77" s="91">
        <f>IF(Y77="-","-",VLOOKUP($G77,CTBat!$G$10:$AN$89,BZ$9,FALSE)-Y77)</f>
        <v>0</v>
      </c>
      <c r="CA77" s="91">
        <f>IF(Z77="-","-",VLOOKUP($G77,CTBat!$G$10:$AN$89,CA$9,FALSE)-Z77)</f>
        <v>0</v>
      </c>
      <c r="CB77" s="91">
        <f>IF(AA77="-","-",VLOOKUP($G77,CTBat!$G$10:$AN$89,CB$9,FALSE)-AA77)</f>
        <v>0</v>
      </c>
      <c r="CC77" s="91">
        <f>IF(AB77="-","-",VLOOKUP($G77,CTBat!$G$10:$AN$89,CC$9,FALSE)-AB77)</f>
        <v>0</v>
      </c>
      <c r="CD77" s="91">
        <f>IF(AC77="-","-",VLOOKUP($G77,CTBat!$G$10:$AN$89,CD$9,FALSE)-AC77)</f>
        <v>0</v>
      </c>
      <c r="CE77" s="91" t="str">
        <f>IF(AD77="-","-",VLOOKUP($G77,CTBat!$G$10:$AN$89,CE$9,FALSE)-AD77)</f>
        <v>-</v>
      </c>
      <c r="CF77" s="91">
        <f>IF(AE77="-","-",VLOOKUP($G77,CTBat!$G$10:$AN$89,CF$9,FALSE)-AE77)</f>
        <v>0</v>
      </c>
      <c r="CG77" s="91" t="str">
        <f>IF(AF77="-","-",VLOOKUP($G77,CTBat!$G$10:$AN$89,CG$9,FALSE)-AF77)</f>
        <v>-</v>
      </c>
      <c r="CH77" s="91" t="str">
        <f>IF(AG77="-","-",VLOOKUP($G77,CTBat!$G$10:$AN$89,CH$9,FALSE)-AG77)</f>
        <v>-</v>
      </c>
      <c r="CI77" s="91" t="str">
        <f>IF(AH77="-","-",VLOOKUP($G77,CTBat!$G$10:$AN$89,CI$9,FALSE)-AH77)</f>
        <v>-</v>
      </c>
      <c r="CJ77" s="91">
        <f>IF(AI77="-","-",VLOOKUP($G77,CTBat!$G$10:$AN$89,CJ$9,FALSE)-AI77)</f>
        <v>0</v>
      </c>
      <c r="CK77" s="91">
        <f>IF(AJ77="-","-",VLOOKUP($G77,CTBat!$G$10:$AN$89,CK$9,FALSE)-AJ77)</f>
        <v>0</v>
      </c>
      <c r="CL77" s="91">
        <f>IF(AK77="-","-",VLOOKUP($G77,CTBat!$G$10:$AN$89,CL$9,FALSE)-AK77)</f>
        <v>0</v>
      </c>
      <c r="CM77" s="91">
        <f>IF(AL77="-","-",VLOOKUP($G77,CTBat!$G$10:$AN$89,CM$9,FALSE)-AL77)</f>
        <v>0</v>
      </c>
      <c r="CN77" s="91">
        <f>IF(AM77="-","-",VLOOKUP($G77,CTBat!$G$10:$AN$89,CN$9,FALSE)-AM77)</f>
        <v>0</v>
      </c>
      <c r="CO77" s="91">
        <f>IF(AN77="-","-",VLOOKUP($G77,CTBat!$G$10:$AN$89,CO$9,FALSE)-AN77)</f>
        <v>0</v>
      </c>
      <c r="CP77" s="91">
        <f t="shared" si="113"/>
        <v>0</v>
      </c>
      <c r="CQ77" s="91">
        <f t="shared" si="114"/>
        <v>0</v>
      </c>
      <c r="CR77" s="91">
        <f t="shared" si="115"/>
        <v>0</v>
      </c>
      <c r="CS77" s="91">
        <f t="shared" si="116"/>
        <v>0</v>
      </c>
      <c r="CT77" s="91">
        <f t="shared" si="117"/>
        <v>0</v>
      </c>
    </row>
    <row r="78" spans="1:98">
      <c r="C78" s="106">
        <f t="shared" si="83"/>
        <v>9</v>
      </c>
      <c r="D78" s="106" t="str">
        <f t="shared" si="84"/>
        <v>-</v>
      </c>
      <c r="E78" s="106" t="str">
        <f t="shared" si="85"/>
        <v>K</v>
      </c>
      <c r="F78" t="s">
        <v>101</v>
      </c>
      <c r="G78" t="s">
        <v>387</v>
      </c>
      <c r="H78" t="s">
        <v>383</v>
      </c>
      <c r="I78" t="s">
        <v>327</v>
      </c>
      <c r="J78">
        <v>22</v>
      </c>
      <c r="K78" t="s">
        <v>107</v>
      </c>
      <c r="L78" t="s">
        <v>107</v>
      </c>
      <c r="M78" t="s">
        <v>47</v>
      </c>
      <c r="N78" s="223" t="s">
        <v>47</v>
      </c>
      <c r="O78" t="s">
        <v>229</v>
      </c>
      <c r="P78" s="223" t="s">
        <v>230</v>
      </c>
      <c r="Q78">
        <v>4</v>
      </c>
      <c r="R78">
        <v>2</v>
      </c>
      <c r="S78">
        <v>2</v>
      </c>
      <c r="T78">
        <v>2</v>
      </c>
      <c r="U78" s="223">
        <v>5</v>
      </c>
      <c r="V78">
        <v>5</v>
      </c>
      <c r="W78">
        <v>2</v>
      </c>
      <c r="X78">
        <v>2</v>
      </c>
      <c r="Y78">
        <v>2</v>
      </c>
      <c r="Z78" s="223">
        <v>8</v>
      </c>
      <c r="AA78">
        <v>1</v>
      </c>
      <c r="AB78">
        <v>6</v>
      </c>
      <c r="AC78">
        <v>1</v>
      </c>
      <c r="AD78" t="s">
        <v>41</v>
      </c>
      <c r="AE78" t="s">
        <v>41</v>
      </c>
      <c r="AF78" t="s">
        <v>41</v>
      </c>
      <c r="AG78" t="s">
        <v>41</v>
      </c>
      <c r="AH78" t="s">
        <v>41</v>
      </c>
      <c r="AI78">
        <v>5</v>
      </c>
      <c r="AJ78">
        <v>3</v>
      </c>
      <c r="AK78" s="223">
        <v>3</v>
      </c>
      <c r="AL78">
        <v>8</v>
      </c>
      <c r="AM78">
        <v>10</v>
      </c>
      <c r="AN78" s="223">
        <v>10</v>
      </c>
      <c r="AO78" t="s">
        <v>41</v>
      </c>
      <c r="AP78" s="223">
        <v>0</v>
      </c>
      <c r="AQ78" s="6">
        <f t="shared" si="86"/>
        <v>1.6666666666666665</v>
      </c>
      <c r="AR78" s="9" t="str">
        <f t="shared" si="87"/>
        <v>Minors</v>
      </c>
      <c r="AS78" s="6">
        <f t="shared" si="88"/>
        <v>2.5</v>
      </c>
      <c r="AT78" s="6" t="str">
        <f t="shared" si="89"/>
        <v>Minors</v>
      </c>
      <c r="AU78" s="9">
        <f t="shared" si="90"/>
        <v>2.5</v>
      </c>
      <c r="AV78" s="9" t="str">
        <f t="shared" si="91"/>
        <v>Minors</v>
      </c>
      <c r="AW78" s="53">
        <f t="shared" si="92"/>
        <v>0</v>
      </c>
      <c r="AX78" s="222">
        <f t="shared" si="93"/>
        <v>0</v>
      </c>
      <c r="AY78" s="222">
        <f t="shared" si="94"/>
        <v>0</v>
      </c>
      <c r="AZ78" s="222">
        <f t="shared" si="95"/>
        <v>0</v>
      </c>
      <c r="BA78" s="222">
        <f t="shared" si="96"/>
        <v>0</v>
      </c>
      <c r="BB78" s="222">
        <f t="shared" si="97"/>
        <v>0</v>
      </c>
      <c r="BC78" s="222">
        <f t="shared" si="98"/>
        <v>0</v>
      </c>
      <c r="BD78" s="222">
        <f t="shared" si="99"/>
        <v>0</v>
      </c>
      <c r="BE78" s="223">
        <f t="shared" si="100"/>
        <v>0</v>
      </c>
      <c r="BF78" s="53">
        <f t="shared" si="101"/>
        <v>0</v>
      </c>
      <c r="BG78" s="222">
        <f t="shared" si="102"/>
        <v>0</v>
      </c>
      <c r="BH78" s="222">
        <f t="shared" si="103"/>
        <v>0</v>
      </c>
      <c r="BI78" s="222">
        <f t="shared" si="104"/>
        <v>0</v>
      </c>
      <c r="BJ78" s="222">
        <f t="shared" si="105"/>
        <v>0</v>
      </c>
      <c r="BK78" s="222">
        <f t="shared" si="106"/>
        <v>0</v>
      </c>
      <c r="BL78" s="222">
        <f t="shared" si="107"/>
        <v>0</v>
      </c>
      <c r="BM78" s="222">
        <f t="shared" si="108"/>
        <v>0</v>
      </c>
      <c r="BN78" s="223">
        <f t="shared" si="109"/>
        <v>1</v>
      </c>
      <c r="BO78" s="223">
        <f t="shared" si="110"/>
        <v>5</v>
      </c>
      <c r="BP78" s="7">
        <f t="shared" si="111"/>
        <v>1</v>
      </c>
      <c r="BQ78" t="str">
        <f t="shared" si="112"/>
        <v/>
      </c>
      <c r="BR78" s="91" t="e">
        <f>IF(Q78="-","-",VLOOKUP($G78,CTBat!$G$10:$AN$89,BR$9,FALSE)-Q78)</f>
        <v>#N/A</v>
      </c>
      <c r="BS78" s="91" t="e">
        <f>IF(R78="-","-",VLOOKUP($G78,CTBat!$G$10:$AN$89,BS$9,FALSE)-R78)</f>
        <v>#N/A</v>
      </c>
      <c r="BT78" s="91" t="e">
        <f>IF(S78="-","-",VLOOKUP($G78,CTBat!$G$10:$AN$89,BT$9,FALSE)-S78)</f>
        <v>#N/A</v>
      </c>
      <c r="BU78" s="91" t="e">
        <f>IF(T78="-","-",VLOOKUP($G78,CTBat!$G$10:$AN$89,BU$9,FALSE)-T78)</f>
        <v>#N/A</v>
      </c>
      <c r="BV78" s="91" t="e">
        <f>IF(U78="-","-",VLOOKUP($G78,CTBat!$G$10:$AN$89,BV$9,FALSE)-U78)</f>
        <v>#N/A</v>
      </c>
      <c r="BW78" s="91" t="e">
        <f>IF(V78="-","-",VLOOKUP($G78,CTBat!$G$10:$AN$89,BW$9,FALSE)-V78)</f>
        <v>#N/A</v>
      </c>
      <c r="BX78" s="91" t="e">
        <f>IF(W78="-","-",VLOOKUP($G78,CTBat!$G$10:$AN$89,BX$9,FALSE)-W78)</f>
        <v>#N/A</v>
      </c>
      <c r="BY78" s="91" t="e">
        <f>IF(X78="-","-",VLOOKUP($G78,CTBat!$G$10:$AN$89,BY$9,FALSE)-X78)</f>
        <v>#N/A</v>
      </c>
      <c r="BZ78" s="91" t="e">
        <f>IF(Y78="-","-",VLOOKUP($G78,CTBat!$G$10:$AN$89,BZ$9,FALSE)-Y78)</f>
        <v>#N/A</v>
      </c>
      <c r="CA78" s="91" t="e">
        <f>IF(Z78="-","-",VLOOKUP($G78,CTBat!$G$10:$AN$89,CA$9,FALSE)-Z78)</f>
        <v>#N/A</v>
      </c>
      <c r="CB78" s="91" t="e">
        <f>IF(AA78="-","-",VLOOKUP($G78,CTBat!$G$10:$AN$89,CB$9,FALSE)-AA78)</f>
        <v>#N/A</v>
      </c>
      <c r="CC78" s="91" t="e">
        <f>IF(AB78="-","-",VLOOKUP($G78,CTBat!$G$10:$AN$89,CC$9,FALSE)-AB78)</f>
        <v>#N/A</v>
      </c>
      <c r="CD78" s="91" t="e">
        <f>IF(AC78="-","-",VLOOKUP($G78,CTBat!$G$10:$AN$89,CD$9,FALSE)-AC78)</f>
        <v>#N/A</v>
      </c>
      <c r="CE78" s="91" t="str">
        <f>IF(AD78="-","-",VLOOKUP($G78,CTBat!$G$10:$AN$89,CE$9,FALSE)-AD78)</f>
        <v>-</v>
      </c>
      <c r="CF78" s="91" t="str">
        <f>IF(AE78="-","-",VLOOKUP($G78,CTBat!$G$10:$AN$89,CF$9,FALSE)-AE78)</f>
        <v>-</v>
      </c>
      <c r="CG78" s="91" t="str">
        <f>IF(AF78="-","-",VLOOKUP($G78,CTBat!$G$10:$AN$89,CG$9,FALSE)-AF78)</f>
        <v>-</v>
      </c>
      <c r="CH78" s="91" t="str">
        <f>IF(AG78="-","-",VLOOKUP($G78,CTBat!$G$10:$AN$89,CH$9,FALSE)-AG78)</f>
        <v>-</v>
      </c>
      <c r="CI78" s="91" t="str">
        <f>IF(AH78="-","-",VLOOKUP($G78,CTBat!$G$10:$AN$89,CI$9,FALSE)-AH78)</f>
        <v>-</v>
      </c>
      <c r="CJ78" s="91" t="e">
        <f>IF(AI78="-","-",VLOOKUP($G78,CTBat!$G$10:$AN$89,CJ$9,FALSE)-AI78)</f>
        <v>#N/A</v>
      </c>
      <c r="CK78" s="91" t="e">
        <f>IF(AJ78="-","-",VLOOKUP($G78,CTBat!$G$10:$AN$89,CK$9,FALSE)-AJ78)</f>
        <v>#N/A</v>
      </c>
      <c r="CL78" s="91" t="e">
        <f>IF(AK78="-","-",VLOOKUP($G78,CTBat!$G$10:$AN$89,CL$9,FALSE)-AK78)</f>
        <v>#N/A</v>
      </c>
      <c r="CM78" s="91" t="e">
        <f>IF(AL78="-","-",VLOOKUP($G78,CTBat!$G$10:$AN$89,CM$9,FALSE)-AL78)</f>
        <v>#N/A</v>
      </c>
      <c r="CN78" s="91" t="e">
        <f>IF(AM78="-","-",VLOOKUP($G78,CTBat!$G$10:$AN$89,CN$9,FALSE)-AM78)</f>
        <v>#N/A</v>
      </c>
      <c r="CO78" s="91" t="e">
        <f>IF(AN78="-","-",VLOOKUP($G78,CTBat!$G$10:$AN$89,CO$9,FALSE)-AN78)</f>
        <v>#N/A</v>
      </c>
      <c r="CP78" s="91" t="e">
        <f t="shared" si="113"/>
        <v>#N/A</v>
      </c>
      <c r="CQ78" s="91" t="e">
        <f t="shared" si="114"/>
        <v>#N/A</v>
      </c>
      <c r="CR78" s="91" t="e">
        <f t="shared" si="115"/>
        <v>#N/A</v>
      </c>
      <c r="CS78" s="91" t="e">
        <f t="shared" si="116"/>
        <v>#N/A</v>
      </c>
      <c r="CT78" s="91" t="e">
        <f t="shared" si="117"/>
        <v>#N/A</v>
      </c>
    </row>
    <row r="79" spans="1:98">
      <c r="C79" t="str">
        <f t="shared" si="83"/>
        <v>-</v>
      </c>
      <c r="D79" t="str">
        <f t="shared" si="84"/>
        <v>-</v>
      </c>
      <c r="E79" t="str">
        <f t="shared" si="85"/>
        <v>K</v>
      </c>
      <c r="F79" t="s">
        <v>102</v>
      </c>
      <c r="G79" t="s">
        <v>416</v>
      </c>
      <c r="H79" t="s">
        <v>386</v>
      </c>
      <c r="I79" t="s">
        <v>215</v>
      </c>
      <c r="J79">
        <v>23</v>
      </c>
      <c r="K79" t="s">
        <v>107</v>
      </c>
      <c r="L79" t="s">
        <v>107</v>
      </c>
      <c r="M79" t="s">
        <v>47</v>
      </c>
      <c r="N79" s="223" t="s">
        <v>47</v>
      </c>
      <c r="O79" t="s">
        <v>229</v>
      </c>
      <c r="P79" s="223" t="s">
        <v>232</v>
      </c>
      <c r="Q79">
        <v>5</v>
      </c>
      <c r="R79">
        <v>2</v>
      </c>
      <c r="S79">
        <v>1</v>
      </c>
      <c r="T79">
        <v>2</v>
      </c>
      <c r="U79" s="223">
        <v>4</v>
      </c>
      <c r="V79">
        <v>5</v>
      </c>
      <c r="W79">
        <v>2</v>
      </c>
      <c r="X79">
        <v>1</v>
      </c>
      <c r="Y79">
        <v>2</v>
      </c>
      <c r="Z79" s="223">
        <v>4</v>
      </c>
      <c r="AA79">
        <v>6</v>
      </c>
      <c r="AB79">
        <v>8</v>
      </c>
      <c r="AC79">
        <v>1</v>
      </c>
      <c r="AD79" t="s">
        <v>41</v>
      </c>
      <c r="AE79">
        <v>4</v>
      </c>
      <c r="AF79" t="s">
        <v>41</v>
      </c>
      <c r="AG79">
        <v>1</v>
      </c>
      <c r="AH79" t="s">
        <v>41</v>
      </c>
      <c r="AI79">
        <v>9</v>
      </c>
      <c r="AJ79">
        <v>10</v>
      </c>
      <c r="AK79" s="223">
        <v>10</v>
      </c>
      <c r="AL79">
        <v>5</v>
      </c>
      <c r="AM79">
        <v>4</v>
      </c>
      <c r="AN79" s="223">
        <v>4</v>
      </c>
      <c r="AO79" t="s">
        <v>41</v>
      </c>
      <c r="AP79" s="223">
        <v>0</v>
      </c>
      <c r="AQ79" s="6">
        <f t="shared" si="86"/>
        <v>2.1666666666666665</v>
      </c>
      <c r="AR79" s="9" t="str">
        <f t="shared" si="87"/>
        <v>Minors</v>
      </c>
      <c r="AS79" s="6">
        <f t="shared" si="88"/>
        <v>2.1666666666666665</v>
      </c>
      <c r="AT79" s="6" t="str">
        <f t="shared" si="89"/>
        <v>Minors</v>
      </c>
      <c r="AU79" s="9">
        <f t="shared" si="90"/>
        <v>2.1666666666666665</v>
      </c>
      <c r="AV79" s="9" t="str">
        <f t="shared" si="91"/>
        <v>Minors</v>
      </c>
      <c r="AW79" s="53">
        <f t="shared" si="92"/>
        <v>0</v>
      </c>
      <c r="AX79" s="280">
        <f t="shared" si="93"/>
        <v>0</v>
      </c>
      <c r="AY79" s="280">
        <f t="shared" si="94"/>
        <v>0</v>
      </c>
      <c r="AZ79" s="280">
        <f t="shared" si="95"/>
        <v>0</v>
      </c>
      <c r="BA79" s="280">
        <f t="shared" si="96"/>
        <v>0</v>
      </c>
      <c r="BB79" s="280">
        <f t="shared" si="97"/>
        <v>0</v>
      </c>
      <c r="BC79" s="280">
        <f t="shared" si="98"/>
        <v>0</v>
      </c>
      <c r="BD79" s="280">
        <f t="shared" si="99"/>
        <v>0</v>
      </c>
      <c r="BE79" s="281">
        <f t="shared" si="100"/>
        <v>0</v>
      </c>
      <c r="BF79" s="53">
        <f t="shared" si="101"/>
        <v>0</v>
      </c>
      <c r="BG79" s="280">
        <f t="shared" si="102"/>
        <v>0</v>
      </c>
      <c r="BH79" s="280">
        <f t="shared" si="103"/>
        <v>0</v>
      </c>
      <c r="BI79" s="280">
        <f t="shared" si="104"/>
        <v>0</v>
      </c>
      <c r="BJ79" s="280">
        <f t="shared" si="105"/>
        <v>0</v>
      </c>
      <c r="BK79" s="280">
        <f t="shared" si="106"/>
        <v>0</v>
      </c>
      <c r="BL79" s="280">
        <f t="shared" si="107"/>
        <v>0</v>
      </c>
      <c r="BM79" s="280">
        <f t="shared" si="108"/>
        <v>0</v>
      </c>
      <c r="BN79" s="281">
        <f t="shared" si="109"/>
        <v>0</v>
      </c>
      <c r="BO79" s="281">
        <f t="shared" si="110"/>
        <v>0</v>
      </c>
      <c r="BP79" s="7">
        <f t="shared" si="111"/>
        <v>2</v>
      </c>
      <c r="BQ79" t="str">
        <f t="shared" si="112"/>
        <v/>
      </c>
      <c r="BR79" s="91">
        <f>IF(Q79="-","-",VLOOKUP($G79,CTBat!$G$10:$AN$89,BR$9,FALSE)-Q79)</f>
        <v>0</v>
      </c>
      <c r="BS79" s="91">
        <f>IF(R79="-","-",VLOOKUP($G79,CTBat!$G$10:$AN$89,BS$9,FALSE)-R79)</f>
        <v>0</v>
      </c>
      <c r="BT79" s="91">
        <f>IF(S79="-","-",VLOOKUP($G79,CTBat!$G$10:$AN$89,BT$9,FALSE)-S79)</f>
        <v>0</v>
      </c>
      <c r="BU79" s="91">
        <f>IF(T79="-","-",VLOOKUP($G79,CTBat!$G$10:$AN$89,BU$9,FALSE)-T79)</f>
        <v>0</v>
      </c>
      <c r="BV79" s="91">
        <f>IF(U79="-","-",VLOOKUP($G79,CTBat!$G$10:$AN$89,BV$9,FALSE)-U79)</f>
        <v>0</v>
      </c>
      <c r="BW79" s="91">
        <f>IF(V79="-","-",VLOOKUP($G79,CTBat!$G$10:$AN$89,BW$9,FALSE)-V79)</f>
        <v>0</v>
      </c>
      <c r="BX79" s="91">
        <f>IF(W79="-","-",VLOOKUP($G79,CTBat!$G$10:$AN$89,BX$9,FALSE)-W79)</f>
        <v>0</v>
      </c>
      <c r="BY79" s="91">
        <f>IF(X79="-","-",VLOOKUP($G79,CTBat!$G$10:$AN$89,BY$9,FALSE)-X79)</f>
        <v>0</v>
      </c>
      <c r="BZ79" s="91">
        <f>IF(Y79="-","-",VLOOKUP($G79,CTBat!$G$10:$AN$89,BZ$9,FALSE)-Y79)</f>
        <v>0</v>
      </c>
      <c r="CA79" s="91">
        <f>IF(Z79="-","-",VLOOKUP($G79,CTBat!$G$10:$AN$89,CA$9,FALSE)-Z79)</f>
        <v>0</v>
      </c>
      <c r="CB79" s="91">
        <f>IF(AA79="-","-",VLOOKUP($G79,CTBat!$G$10:$AN$89,CB$9,FALSE)-AA79)</f>
        <v>0</v>
      </c>
      <c r="CC79" s="91">
        <f>IF(AB79="-","-",VLOOKUP($G79,CTBat!$G$10:$AN$89,CC$9,FALSE)-AB79)</f>
        <v>0</v>
      </c>
      <c r="CD79" s="91">
        <f>IF(AC79="-","-",VLOOKUP($G79,CTBat!$G$10:$AN$89,CD$9,FALSE)-AC79)</f>
        <v>0</v>
      </c>
      <c r="CE79" s="91" t="str">
        <f>IF(AD79="-","-",VLOOKUP($G79,CTBat!$G$10:$AN$89,CE$9,FALSE)-AD79)</f>
        <v>-</v>
      </c>
      <c r="CF79" s="91">
        <f>IF(AE79="-","-",VLOOKUP($G79,CTBat!$G$10:$AN$89,CF$9,FALSE)-AE79)</f>
        <v>0</v>
      </c>
      <c r="CG79" s="91" t="str">
        <f>IF(AF79="-","-",VLOOKUP($G79,CTBat!$G$10:$AN$89,CG$9,FALSE)-AF79)</f>
        <v>-</v>
      </c>
      <c r="CH79" s="91">
        <f>IF(AG79="-","-",VLOOKUP($G79,CTBat!$G$10:$AN$89,CH$9,FALSE)-AG79)</f>
        <v>0</v>
      </c>
      <c r="CI79" s="91" t="str">
        <f>IF(AH79="-","-",VLOOKUP($G79,CTBat!$G$10:$AN$89,CI$9,FALSE)-AH79)</f>
        <v>-</v>
      </c>
      <c r="CJ79" s="91">
        <f>IF(AI79="-","-",VLOOKUP($G79,CTBat!$G$10:$AN$89,CJ$9,FALSE)-AI79)</f>
        <v>0</v>
      </c>
      <c r="CK79" s="91">
        <f>IF(AJ79="-","-",VLOOKUP($G79,CTBat!$G$10:$AN$89,CK$9,FALSE)-AJ79)</f>
        <v>0</v>
      </c>
      <c r="CL79" s="91">
        <f>IF(AK79="-","-",VLOOKUP($G79,CTBat!$G$10:$AN$89,CL$9,FALSE)-AK79)</f>
        <v>0</v>
      </c>
      <c r="CM79" s="91">
        <f>IF(AL79="-","-",VLOOKUP($G79,CTBat!$G$10:$AN$89,CM$9,FALSE)-AL79)</f>
        <v>0</v>
      </c>
      <c r="CN79" s="91">
        <f>IF(AM79="-","-",VLOOKUP($G79,CTBat!$G$10:$AN$89,CN$9,FALSE)-AM79)</f>
        <v>0</v>
      </c>
      <c r="CO79" s="91">
        <f>IF(AN79="-","-",VLOOKUP($G79,CTBat!$G$10:$AN$89,CO$9,FALSE)-AN79)</f>
        <v>0</v>
      </c>
      <c r="CP79" s="91">
        <f t="shared" si="113"/>
        <v>0</v>
      </c>
      <c r="CQ79" s="91">
        <f t="shared" si="114"/>
        <v>0</v>
      </c>
      <c r="CR79" s="91">
        <f t="shared" si="115"/>
        <v>0</v>
      </c>
      <c r="CS79" s="91">
        <f t="shared" si="116"/>
        <v>0</v>
      </c>
      <c r="CT79" s="91">
        <f t="shared" si="117"/>
        <v>0</v>
      </c>
    </row>
    <row r="80" spans="1:98">
      <c r="C80" t="str">
        <f t="shared" si="83"/>
        <v>-</v>
      </c>
      <c r="D80" t="str">
        <f t="shared" si="84"/>
        <v>-</v>
      </c>
      <c r="E80" t="str">
        <f t="shared" si="85"/>
        <v>K</v>
      </c>
      <c r="F80" t="s">
        <v>98</v>
      </c>
      <c r="G80" t="s">
        <v>437</v>
      </c>
      <c r="H80" t="s">
        <v>383</v>
      </c>
      <c r="I80" t="s">
        <v>327</v>
      </c>
      <c r="J80">
        <v>23</v>
      </c>
      <c r="K80" t="s">
        <v>107</v>
      </c>
      <c r="L80" t="s">
        <v>107</v>
      </c>
      <c r="M80" t="s">
        <v>47</v>
      </c>
      <c r="N80" s="223" t="s">
        <v>47</v>
      </c>
      <c r="O80" t="s">
        <v>230</v>
      </c>
      <c r="P80" s="223" t="s">
        <v>231</v>
      </c>
      <c r="Q80">
        <v>3</v>
      </c>
      <c r="R80">
        <v>3</v>
      </c>
      <c r="S80">
        <v>1</v>
      </c>
      <c r="T80">
        <v>2</v>
      </c>
      <c r="U80" s="223">
        <v>2</v>
      </c>
      <c r="V80">
        <v>4</v>
      </c>
      <c r="W80">
        <v>6</v>
      </c>
      <c r="X80">
        <v>2</v>
      </c>
      <c r="Y80">
        <v>3</v>
      </c>
      <c r="Z80" s="223">
        <v>3</v>
      </c>
      <c r="AA80">
        <v>2</v>
      </c>
      <c r="AB80">
        <v>3</v>
      </c>
      <c r="AC80">
        <v>1</v>
      </c>
      <c r="AD80" t="s">
        <v>41</v>
      </c>
      <c r="AE80">
        <v>10</v>
      </c>
      <c r="AF80">
        <v>10</v>
      </c>
      <c r="AG80" t="s">
        <v>41</v>
      </c>
      <c r="AH80" t="s">
        <v>41</v>
      </c>
      <c r="AI80">
        <v>1</v>
      </c>
      <c r="AJ80" t="s">
        <v>41</v>
      </c>
      <c r="AK80" s="223" t="s">
        <v>41</v>
      </c>
      <c r="AL80">
        <v>6</v>
      </c>
      <c r="AM80">
        <v>7</v>
      </c>
      <c r="AN80" s="223">
        <v>7</v>
      </c>
      <c r="AO80" s="85" t="s">
        <v>41</v>
      </c>
      <c r="AP80" s="223">
        <v>0</v>
      </c>
      <c r="AQ80" s="6">
        <f t="shared" si="86"/>
        <v>0.5</v>
      </c>
      <c r="AR80" s="9" t="str">
        <f t="shared" si="87"/>
        <v>Minors</v>
      </c>
      <c r="AS80" s="6">
        <f t="shared" si="88"/>
        <v>2</v>
      </c>
      <c r="AT80" s="6" t="str">
        <f t="shared" si="89"/>
        <v>Minors</v>
      </c>
      <c r="AU80" s="9">
        <f t="shared" si="90"/>
        <v>2</v>
      </c>
      <c r="AV80" s="9" t="str">
        <f t="shared" si="91"/>
        <v>Minors</v>
      </c>
      <c r="AW80" s="53">
        <f t="shared" si="92"/>
        <v>0</v>
      </c>
      <c r="AX80" s="280">
        <f t="shared" si="93"/>
        <v>0</v>
      </c>
      <c r="AY80" s="280">
        <f t="shared" si="94"/>
        <v>0</v>
      </c>
      <c r="AZ80" s="280">
        <f t="shared" si="95"/>
        <v>0</v>
      </c>
      <c r="BA80" s="280">
        <f t="shared" si="96"/>
        <v>0</v>
      </c>
      <c r="BB80" s="280">
        <f t="shared" si="97"/>
        <v>0</v>
      </c>
      <c r="BC80" s="280">
        <f t="shared" si="98"/>
        <v>0</v>
      </c>
      <c r="BD80" s="280">
        <f t="shared" si="99"/>
        <v>0</v>
      </c>
      <c r="BE80" s="281">
        <f t="shared" si="100"/>
        <v>0</v>
      </c>
      <c r="BF80" s="53">
        <f t="shared" si="101"/>
        <v>0</v>
      </c>
      <c r="BG80" s="280">
        <f t="shared" si="102"/>
        <v>0</v>
      </c>
      <c r="BH80" s="280">
        <f t="shared" si="103"/>
        <v>0</v>
      </c>
      <c r="BI80" s="280">
        <f t="shared" si="104"/>
        <v>0</v>
      </c>
      <c r="BJ80" s="280">
        <f t="shared" si="105"/>
        <v>0</v>
      </c>
      <c r="BK80" s="280">
        <f t="shared" si="106"/>
        <v>0</v>
      </c>
      <c r="BL80" s="280">
        <f t="shared" si="107"/>
        <v>0</v>
      </c>
      <c r="BM80" s="280">
        <f t="shared" si="108"/>
        <v>0</v>
      </c>
      <c r="BN80" s="281">
        <f t="shared" si="109"/>
        <v>0</v>
      </c>
      <c r="BO80" s="281">
        <f t="shared" si="110"/>
        <v>1</v>
      </c>
      <c r="BP80" s="7">
        <f t="shared" si="111"/>
        <v>2</v>
      </c>
      <c r="BQ80" t="str">
        <f t="shared" si="112"/>
        <v/>
      </c>
      <c r="BR80" s="91">
        <f>IF(Q80="-","-",VLOOKUP($G80,CTBat!$G$10:$AN$89,BR$9,FALSE)-Q80)</f>
        <v>0</v>
      </c>
      <c r="BS80" s="91">
        <f>IF(R80="-","-",VLOOKUP($G80,CTBat!$G$10:$AN$89,BS$9,FALSE)-R80)</f>
        <v>0</v>
      </c>
      <c r="BT80" s="91">
        <f>IF(S80="-","-",VLOOKUP($G80,CTBat!$G$10:$AN$89,BT$9,FALSE)-S80)</f>
        <v>0</v>
      </c>
      <c r="BU80" s="91">
        <f>IF(T80="-","-",VLOOKUP($G80,CTBat!$G$10:$AN$89,BU$9,FALSE)-T80)</f>
        <v>0</v>
      </c>
      <c r="BV80" s="91">
        <f>IF(U80="-","-",VLOOKUP($G80,CTBat!$G$10:$AN$89,BV$9,FALSE)-U80)</f>
        <v>0</v>
      </c>
      <c r="BW80" s="91">
        <f>IF(V80="-","-",VLOOKUP($G80,CTBat!$G$10:$AN$89,BW$9,FALSE)-V80)</f>
        <v>0</v>
      </c>
      <c r="BX80" s="91">
        <f>IF(W80="-","-",VLOOKUP($G80,CTBat!$G$10:$AN$89,BX$9,FALSE)-W80)</f>
        <v>0</v>
      </c>
      <c r="BY80" s="91">
        <f>IF(X80="-","-",VLOOKUP($G80,CTBat!$G$10:$AN$89,BY$9,FALSE)-X80)</f>
        <v>0</v>
      </c>
      <c r="BZ80" s="91">
        <f>IF(Y80="-","-",VLOOKUP($G80,CTBat!$G$10:$AN$89,BZ$9,FALSE)-Y80)</f>
        <v>0</v>
      </c>
      <c r="CA80" s="91">
        <f>IF(Z80="-","-",VLOOKUP($G80,CTBat!$G$10:$AN$89,CA$9,FALSE)-Z80)</f>
        <v>0</v>
      </c>
      <c r="CB80" s="91">
        <f>IF(AA80="-","-",VLOOKUP($G80,CTBat!$G$10:$AN$89,CB$9,FALSE)-AA80)</f>
        <v>0</v>
      </c>
      <c r="CC80" s="91">
        <f>IF(AB80="-","-",VLOOKUP($G80,CTBat!$G$10:$AN$89,CC$9,FALSE)-AB80)</f>
        <v>0</v>
      </c>
      <c r="CD80" s="91">
        <f>IF(AC80="-","-",VLOOKUP($G80,CTBat!$G$10:$AN$89,CD$9,FALSE)-AC80)</f>
        <v>0</v>
      </c>
      <c r="CE80" s="91" t="str">
        <f>IF(AD80="-","-",VLOOKUP($G80,CTBat!$G$10:$AN$89,CE$9,FALSE)-AD80)</f>
        <v>-</v>
      </c>
      <c r="CF80" s="91">
        <f>IF(AE80="-","-",VLOOKUP($G80,CTBat!$G$10:$AN$89,CF$9,FALSE)-AE80)</f>
        <v>0</v>
      </c>
      <c r="CG80" s="91">
        <f>IF(AF80="-","-",VLOOKUP($G80,CTBat!$G$10:$AN$89,CG$9,FALSE)-AF80)</f>
        <v>0</v>
      </c>
      <c r="CH80" s="91" t="str">
        <f>IF(AG80="-","-",VLOOKUP($G80,CTBat!$G$10:$AN$89,CH$9,FALSE)-AG80)</f>
        <v>-</v>
      </c>
      <c r="CI80" s="91" t="str">
        <f>IF(AH80="-","-",VLOOKUP($G80,CTBat!$G$10:$AN$89,CI$9,FALSE)-AH80)</f>
        <v>-</v>
      </c>
      <c r="CJ80" s="91">
        <f>IF(AI80="-","-",VLOOKUP($G80,CTBat!$G$10:$AN$89,CJ$9,FALSE)-AI80)</f>
        <v>0</v>
      </c>
      <c r="CK80" s="91" t="str">
        <f>IF(AJ80="-","-",VLOOKUP($G80,CTBat!$G$10:$AN$89,CK$9,FALSE)-AJ80)</f>
        <v>-</v>
      </c>
      <c r="CL80" s="91" t="str">
        <f>IF(AK80="-","-",VLOOKUP($G80,CTBat!$G$10:$AN$89,CL$9,FALSE)-AK80)</f>
        <v>-</v>
      </c>
      <c r="CM80" s="91">
        <f>IF(AL80="-","-",VLOOKUP($G80,CTBat!$G$10:$AN$89,CM$9,FALSE)-AL80)</f>
        <v>0</v>
      </c>
      <c r="CN80" s="91">
        <f>IF(AM80="-","-",VLOOKUP($G80,CTBat!$G$10:$AN$89,CN$9,FALSE)-AM80)</f>
        <v>0</v>
      </c>
      <c r="CO80" s="91">
        <f>IF(AN80="-","-",VLOOKUP($G80,CTBat!$G$10:$AN$89,CO$9,FALSE)-AN80)</f>
        <v>0</v>
      </c>
      <c r="CP80" s="91">
        <f t="shared" si="113"/>
        <v>0</v>
      </c>
      <c r="CQ80" s="91">
        <f t="shared" si="114"/>
        <v>0</v>
      </c>
      <c r="CR80" s="91">
        <f t="shared" si="115"/>
        <v>0</v>
      </c>
      <c r="CS80" s="91">
        <f t="shared" si="116"/>
        <v>0</v>
      </c>
      <c r="CT80" s="91">
        <f t="shared" si="117"/>
        <v>0</v>
      </c>
    </row>
    <row r="81" spans="3:98">
      <c r="C81" t="str">
        <f t="shared" si="83"/>
        <v>-</v>
      </c>
      <c r="D81" t="str">
        <f t="shared" si="84"/>
        <v>-</v>
      </c>
      <c r="E81" t="str">
        <f t="shared" si="85"/>
        <v>K</v>
      </c>
      <c r="F81" t="s">
        <v>100</v>
      </c>
      <c r="G81" t="s">
        <v>463</v>
      </c>
      <c r="H81" t="s">
        <v>383</v>
      </c>
      <c r="I81" t="s">
        <v>327</v>
      </c>
      <c r="J81">
        <v>19</v>
      </c>
      <c r="K81" t="s">
        <v>106</v>
      </c>
      <c r="L81" t="s">
        <v>107</v>
      </c>
      <c r="M81" t="s">
        <v>47</v>
      </c>
      <c r="N81" s="223" t="s">
        <v>47</v>
      </c>
      <c r="O81" t="s">
        <v>231</v>
      </c>
      <c r="P81" s="223" t="s">
        <v>230</v>
      </c>
      <c r="Q81">
        <v>3</v>
      </c>
      <c r="R81">
        <v>5</v>
      </c>
      <c r="S81">
        <v>1</v>
      </c>
      <c r="T81">
        <v>2</v>
      </c>
      <c r="U81" s="223">
        <v>2</v>
      </c>
      <c r="V81">
        <v>3</v>
      </c>
      <c r="W81">
        <v>6</v>
      </c>
      <c r="X81">
        <v>1</v>
      </c>
      <c r="Y81">
        <v>3</v>
      </c>
      <c r="Z81" s="223">
        <v>3</v>
      </c>
      <c r="AA81">
        <v>9</v>
      </c>
      <c r="AB81">
        <v>3</v>
      </c>
      <c r="AC81">
        <v>1</v>
      </c>
      <c r="AD81" t="s">
        <v>41</v>
      </c>
      <c r="AE81" t="s">
        <v>41</v>
      </c>
      <c r="AF81" t="s">
        <v>41</v>
      </c>
      <c r="AG81">
        <v>1</v>
      </c>
      <c r="AH81">
        <v>3</v>
      </c>
      <c r="AI81" t="s">
        <v>41</v>
      </c>
      <c r="AJ81" t="s">
        <v>41</v>
      </c>
      <c r="AK81" s="223" t="s">
        <v>41</v>
      </c>
      <c r="AL81">
        <v>8</v>
      </c>
      <c r="AM81">
        <v>9</v>
      </c>
      <c r="AN81" s="223">
        <v>10</v>
      </c>
      <c r="AO81" s="85" t="s">
        <v>41</v>
      </c>
      <c r="AP81" s="223" t="s">
        <v>45</v>
      </c>
      <c r="AQ81" s="6">
        <f t="shared" si="86"/>
        <v>0.5</v>
      </c>
      <c r="AR81" s="9" t="str">
        <f t="shared" si="87"/>
        <v>Minors</v>
      </c>
      <c r="AS81" s="6">
        <f t="shared" si="88"/>
        <v>0.83333333333333348</v>
      </c>
      <c r="AT81" s="6" t="str">
        <f t="shared" si="89"/>
        <v>Minors</v>
      </c>
      <c r="AU81" s="9">
        <f t="shared" si="90"/>
        <v>0.83333333333333348</v>
      </c>
      <c r="AV81" s="9" t="str">
        <f t="shared" si="91"/>
        <v>Minors</v>
      </c>
      <c r="AW81" s="53">
        <f t="shared" si="92"/>
        <v>0</v>
      </c>
      <c r="AX81" s="280">
        <f t="shared" si="93"/>
        <v>0</v>
      </c>
      <c r="AY81" s="280">
        <f t="shared" si="94"/>
        <v>0</v>
      </c>
      <c r="AZ81" s="280">
        <f t="shared" si="95"/>
        <v>0</v>
      </c>
      <c r="BA81" s="280">
        <f t="shared" si="96"/>
        <v>0</v>
      </c>
      <c r="BB81" s="280">
        <f t="shared" si="97"/>
        <v>0</v>
      </c>
      <c r="BC81" s="280">
        <f t="shared" si="98"/>
        <v>0</v>
      </c>
      <c r="BD81" s="280">
        <f t="shared" si="99"/>
        <v>0</v>
      </c>
      <c r="BE81" s="281">
        <f t="shared" si="100"/>
        <v>0</v>
      </c>
      <c r="BF81" s="53">
        <f t="shared" si="101"/>
        <v>0</v>
      </c>
      <c r="BG81" s="280">
        <f t="shared" si="102"/>
        <v>0</v>
      </c>
      <c r="BH81" s="280">
        <f t="shared" si="103"/>
        <v>0</v>
      </c>
      <c r="BI81" s="280">
        <f t="shared" si="104"/>
        <v>0</v>
      </c>
      <c r="BJ81" s="280">
        <f t="shared" si="105"/>
        <v>0</v>
      </c>
      <c r="BK81" s="280">
        <f t="shared" si="106"/>
        <v>0</v>
      </c>
      <c r="BL81" s="280">
        <f t="shared" si="107"/>
        <v>0</v>
      </c>
      <c r="BM81" s="280">
        <f t="shared" si="108"/>
        <v>0</v>
      </c>
      <c r="BN81" s="281">
        <f t="shared" si="109"/>
        <v>0</v>
      </c>
      <c r="BO81" s="281">
        <f t="shared" si="110"/>
        <v>5</v>
      </c>
      <c r="BP81" s="7">
        <f t="shared" si="111"/>
        <v>0</v>
      </c>
      <c r="BQ81" t="str">
        <f t="shared" si="112"/>
        <v/>
      </c>
      <c r="BR81" s="91" t="e">
        <f>IF(Q81="-","-",VLOOKUP($G81,CTBat!$G$10:$AN$89,BR$9,FALSE)-Q81)</f>
        <v>#N/A</v>
      </c>
      <c r="BS81" s="91" t="e">
        <f>IF(R81="-","-",VLOOKUP($G81,CTBat!$G$10:$AN$89,BS$9,FALSE)-R81)</f>
        <v>#N/A</v>
      </c>
      <c r="BT81" s="91" t="e">
        <f>IF(S81="-","-",VLOOKUP($G81,CTBat!$G$10:$AN$89,BT$9,FALSE)-S81)</f>
        <v>#N/A</v>
      </c>
      <c r="BU81" s="91" t="e">
        <f>IF(T81="-","-",VLOOKUP($G81,CTBat!$G$10:$AN$89,BU$9,FALSE)-T81)</f>
        <v>#N/A</v>
      </c>
      <c r="BV81" s="91" t="e">
        <f>IF(U81="-","-",VLOOKUP($G81,CTBat!$G$10:$AN$89,BV$9,FALSE)-U81)</f>
        <v>#N/A</v>
      </c>
      <c r="BW81" s="91" t="e">
        <f>IF(V81="-","-",VLOOKUP($G81,CTBat!$G$10:$AN$89,BW$9,FALSE)-V81)</f>
        <v>#N/A</v>
      </c>
      <c r="BX81" s="91" t="e">
        <f>IF(W81="-","-",VLOOKUP($G81,CTBat!$G$10:$AN$89,BX$9,FALSE)-W81)</f>
        <v>#N/A</v>
      </c>
      <c r="BY81" s="91" t="e">
        <f>IF(X81="-","-",VLOOKUP($G81,CTBat!$G$10:$AN$89,BY$9,FALSE)-X81)</f>
        <v>#N/A</v>
      </c>
      <c r="BZ81" s="91" t="e">
        <f>IF(Y81="-","-",VLOOKUP($G81,CTBat!$G$10:$AN$89,BZ$9,FALSE)-Y81)</f>
        <v>#N/A</v>
      </c>
      <c r="CA81" s="91" t="e">
        <f>IF(Z81="-","-",VLOOKUP($G81,CTBat!$G$10:$AN$89,CA$9,FALSE)-Z81)</f>
        <v>#N/A</v>
      </c>
      <c r="CB81" s="91" t="e">
        <f>IF(AA81="-","-",VLOOKUP($G81,CTBat!$G$10:$AN$89,CB$9,FALSE)-AA81)</f>
        <v>#N/A</v>
      </c>
      <c r="CC81" s="91" t="e">
        <f>IF(AB81="-","-",VLOOKUP($G81,CTBat!$G$10:$AN$89,CC$9,FALSE)-AB81)</f>
        <v>#N/A</v>
      </c>
      <c r="CD81" s="91" t="e">
        <f>IF(AC81="-","-",VLOOKUP($G81,CTBat!$G$10:$AN$89,CD$9,FALSE)-AC81)</f>
        <v>#N/A</v>
      </c>
      <c r="CE81" s="91" t="str">
        <f>IF(AD81="-","-",VLOOKUP($G81,CTBat!$G$10:$AN$89,CE$9,FALSE)-AD81)</f>
        <v>-</v>
      </c>
      <c r="CF81" s="91" t="str">
        <f>IF(AE81="-","-",VLOOKUP($G81,CTBat!$G$10:$AN$89,CF$9,FALSE)-AE81)</f>
        <v>-</v>
      </c>
      <c r="CG81" s="91" t="str">
        <f>IF(AF81="-","-",VLOOKUP($G81,CTBat!$G$10:$AN$89,CG$9,FALSE)-AF81)</f>
        <v>-</v>
      </c>
      <c r="CH81" s="91" t="e">
        <f>IF(AG81="-","-",VLOOKUP($G81,CTBat!$G$10:$AN$89,CH$9,FALSE)-AG81)</f>
        <v>#N/A</v>
      </c>
      <c r="CI81" s="91" t="e">
        <f>IF(AH81="-","-",VLOOKUP($G81,CTBat!$G$10:$AN$89,CI$9,FALSE)-AH81)</f>
        <v>#N/A</v>
      </c>
      <c r="CJ81" s="91" t="str">
        <f>IF(AI81="-","-",VLOOKUP($G81,CTBat!$G$10:$AN$89,CJ$9,FALSE)-AI81)</f>
        <v>-</v>
      </c>
      <c r="CK81" s="91" t="str">
        <f>IF(AJ81="-","-",VLOOKUP($G81,CTBat!$G$10:$AN$89,CK$9,FALSE)-AJ81)</f>
        <v>-</v>
      </c>
      <c r="CL81" s="91" t="str">
        <f>IF(AK81="-","-",VLOOKUP($G81,CTBat!$G$10:$AN$89,CL$9,FALSE)-AK81)</f>
        <v>-</v>
      </c>
      <c r="CM81" s="91" t="e">
        <f>IF(AL81="-","-",VLOOKUP($G81,CTBat!$G$10:$AN$89,CM$9,FALSE)-AL81)</f>
        <v>#N/A</v>
      </c>
      <c r="CN81" s="91" t="e">
        <f>IF(AM81="-","-",VLOOKUP($G81,CTBat!$G$10:$AN$89,CN$9,FALSE)-AM81)</f>
        <v>#N/A</v>
      </c>
      <c r="CO81" s="91" t="e">
        <f>IF(AN81="-","-",VLOOKUP($G81,CTBat!$G$10:$AN$89,CO$9,FALSE)-AN81)</f>
        <v>#N/A</v>
      </c>
      <c r="CP81" s="91" t="e">
        <f t="shared" si="113"/>
        <v>#N/A</v>
      </c>
      <c r="CQ81" s="91" t="e">
        <f t="shared" si="114"/>
        <v>#N/A</v>
      </c>
      <c r="CR81" s="91" t="e">
        <f t="shared" si="115"/>
        <v>#N/A</v>
      </c>
      <c r="CS81" s="91" t="e">
        <f t="shared" si="116"/>
        <v>#N/A</v>
      </c>
      <c r="CT81" s="91" t="e">
        <f t="shared" si="117"/>
        <v>#N/A</v>
      </c>
    </row>
    <row r="82" spans="3:98">
      <c r="C82">
        <f t="shared" si="83"/>
        <v>4</v>
      </c>
      <c r="D82" t="str">
        <f t="shared" si="84"/>
        <v>-</v>
      </c>
      <c r="E82" t="str">
        <f t="shared" si="85"/>
        <v>K</v>
      </c>
      <c r="F82" t="s">
        <v>101</v>
      </c>
      <c r="G82" t="s">
        <v>496</v>
      </c>
      <c r="H82" t="s">
        <v>383</v>
      </c>
      <c r="I82" t="s">
        <v>327</v>
      </c>
      <c r="J82">
        <v>19</v>
      </c>
      <c r="K82" t="s">
        <v>107</v>
      </c>
      <c r="L82" t="s">
        <v>107</v>
      </c>
      <c r="M82" t="s">
        <v>47</v>
      </c>
      <c r="N82" s="223" t="s">
        <v>44</v>
      </c>
      <c r="O82" t="s">
        <v>231</v>
      </c>
      <c r="P82" s="223" t="s">
        <v>228</v>
      </c>
      <c r="Q82">
        <v>2</v>
      </c>
      <c r="R82">
        <v>3</v>
      </c>
      <c r="S82">
        <v>1</v>
      </c>
      <c r="T82">
        <v>2</v>
      </c>
      <c r="U82" s="223">
        <v>2</v>
      </c>
      <c r="V82">
        <v>9</v>
      </c>
      <c r="W82">
        <v>7</v>
      </c>
      <c r="X82">
        <v>8</v>
      </c>
      <c r="Y82">
        <v>4</v>
      </c>
      <c r="Z82" s="223">
        <v>10</v>
      </c>
      <c r="AA82">
        <v>1</v>
      </c>
      <c r="AB82">
        <v>7</v>
      </c>
      <c r="AC82">
        <v>1</v>
      </c>
      <c r="AD82" t="s">
        <v>41</v>
      </c>
      <c r="AE82" t="s">
        <v>41</v>
      </c>
      <c r="AF82" t="s">
        <v>41</v>
      </c>
      <c r="AG82" t="s">
        <v>41</v>
      </c>
      <c r="AH82" t="s">
        <v>41</v>
      </c>
      <c r="AI82">
        <v>4</v>
      </c>
      <c r="AJ82">
        <v>1</v>
      </c>
      <c r="AK82" s="223">
        <v>2</v>
      </c>
      <c r="AL82">
        <v>8</v>
      </c>
      <c r="AM82">
        <v>10</v>
      </c>
      <c r="AN82" s="223">
        <v>10</v>
      </c>
      <c r="AO82" s="85" t="s">
        <v>41</v>
      </c>
      <c r="AP82" s="223">
        <v>0</v>
      </c>
      <c r="AQ82" s="6">
        <f t="shared" si="86"/>
        <v>-0.33333333333333326</v>
      </c>
      <c r="AR82" s="9" t="str">
        <f t="shared" si="87"/>
        <v>Minors</v>
      </c>
      <c r="AS82" s="6">
        <f t="shared" si="88"/>
        <v>7.75</v>
      </c>
      <c r="AT82" s="6" t="str">
        <f t="shared" si="89"/>
        <v>GoodReg</v>
      </c>
      <c r="AU82" s="9">
        <f t="shared" si="90"/>
        <v>7.75</v>
      </c>
      <c r="AV82" s="9" t="str">
        <f t="shared" si="91"/>
        <v>GoodReg</v>
      </c>
      <c r="AW82" s="53">
        <f t="shared" si="92"/>
        <v>0</v>
      </c>
      <c r="AX82" s="280">
        <f t="shared" si="93"/>
        <v>0</v>
      </c>
      <c r="AY82" s="280">
        <f t="shared" si="94"/>
        <v>0</v>
      </c>
      <c r="AZ82" s="280">
        <f t="shared" si="95"/>
        <v>0</v>
      </c>
      <c r="BA82" s="280">
        <f t="shared" si="96"/>
        <v>0</v>
      </c>
      <c r="BB82" s="280">
        <f t="shared" si="97"/>
        <v>0</v>
      </c>
      <c r="BC82" s="280">
        <f t="shared" si="98"/>
        <v>0</v>
      </c>
      <c r="BD82" s="280">
        <f t="shared" si="99"/>
        <v>0</v>
      </c>
      <c r="BE82" s="281">
        <f t="shared" si="100"/>
        <v>0</v>
      </c>
      <c r="BF82" s="53">
        <f t="shared" si="101"/>
        <v>1</v>
      </c>
      <c r="BG82" s="280">
        <f t="shared" si="102"/>
        <v>1</v>
      </c>
      <c r="BH82" s="280">
        <f t="shared" si="103"/>
        <v>0</v>
      </c>
      <c r="BI82" s="280">
        <f t="shared" si="104"/>
        <v>1</v>
      </c>
      <c r="BJ82" s="280">
        <f t="shared" si="105"/>
        <v>1</v>
      </c>
      <c r="BK82" s="280">
        <f t="shared" si="106"/>
        <v>1</v>
      </c>
      <c r="BL82" s="280">
        <f t="shared" si="107"/>
        <v>1</v>
      </c>
      <c r="BM82" s="280">
        <f t="shared" si="108"/>
        <v>1</v>
      </c>
      <c r="BN82" s="281">
        <f t="shared" si="109"/>
        <v>1</v>
      </c>
      <c r="BO82" s="281">
        <f t="shared" si="110"/>
        <v>5</v>
      </c>
      <c r="BP82" s="7">
        <f t="shared" si="111"/>
        <v>0</v>
      </c>
      <c r="BQ82" t="str">
        <f t="shared" si="112"/>
        <v/>
      </c>
      <c r="BR82" s="91">
        <f>IF(Q82="-","-",VLOOKUP($G82,CTBat!$G$10:$AN$89,BR$9,FALSE)-Q82)</f>
        <v>1</v>
      </c>
      <c r="BS82" s="91">
        <f>IF(R82="-","-",VLOOKUP($G82,CTBat!$G$10:$AN$89,BS$9,FALSE)-R82)</f>
        <v>0</v>
      </c>
      <c r="BT82" s="91">
        <f>IF(S82="-","-",VLOOKUP($G82,CTBat!$G$10:$AN$89,BT$9,FALSE)-S82)</f>
        <v>0</v>
      </c>
      <c r="BU82" s="91">
        <f>IF(T82="-","-",VLOOKUP($G82,CTBat!$G$10:$AN$89,BU$9,FALSE)-T82)</f>
        <v>0</v>
      </c>
      <c r="BV82" s="91">
        <f>IF(U82="-","-",VLOOKUP($G82,CTBat!$G$10:$AN$89,BV$9,FALSE)-U82)</f>
        <v>0</v>
      </c>
      <c r="BW82" s="91">
        <f>IF(V82="-","-",VLOOKUP($G82,CTBat!$G$10:$AN$89,BW$9,FALSE)-V82)</f>
        <v>0</v>
      </c>
      <c r="BX82" s="91">
        <f>IF(W82="-","-",VLOOKUP($G82,CTBat!$G$10:$AN$89,BX$9,FALSE)-W82)</f>
        <v>0</v>
      </c>
      <c r="BY82" s="91">
        <f>IF(X82="-","-",VLOOKUP($G82,CTBat!$G$10:$AN$89,BY$9,FALSE)-X82)</f>
        <v>-1</v>
      </c>
      <c r="BZ82" s="91">
        <f>IF(Y82="-","-",VLOOKUP($G82,CTBat!$G$10:$AN$89,BZ$9,FALSE)-Y82)</f>
        <v>-1</v>
      </c>
      <c r="CA82" s="91">
        <f>IF(Z82="-","-",VLOOKUP($G82,CTBat!$G$10:$AN$89,CA$9,FALSE)-Z82)</f>
        <v>0</v>
      </c>
      <c r="CB82" s="91">
        <f>IF(AA82="-","-",VLOOKUP($G82,CTBat!$G$10:$AN$89,CB$9,FALSE)-AA82)</f>
        <v>0</v>
      </c>
      <c r="CC82" s="91">
        <f>IF(AB82="-","-",VLOOKUP($G82,CTBat!$G$10:$AN$89,CC$9,FALSE)-AB82)</f>
        <v>0</v>
      </c>
      <c r="CD82" s="91">
        <f>IF(AC82="-","-",VLOOKUP($G82,CTBat!$G$10:$AN$89,CD$9,FALSE)-AC82)</f>
        <v>0</v>
      </c>
      <c r="CE82" s="91" t="str">
        <f>IF(AD82="-","-",VLOOKUP($G82,CTBat!$G$10:$AN$89,CE$9,FALSE)-AD82)</f>
        <v>-</v>
      </c>
      <c r="CF82" s="91" t="str">
        <f>IF(AE82="-","-",VLOOKUP($G82,CTBat!$G$10:$AN$89,CF$9,FALSE)-AE82)</f>
        <v>-</v>
      </c>
      <c r="CG82" s="91" t="str">
        <f>IF(AF82="-","-",VLOOKUP($G82,CTBat!$G$10:$AN$89,CG$9,FALSE)-AF82)</f>
        <v>-</v>
      </c>
      <c r="CH82" s="91" t="str">
        <f>IF(AG82="-","-",VLOOKUP($G82,CTBat!$G$10:$AN$89,CH$9,FALSE)-AG82)</f>
        <v>-</v>
      </c>
      <c r="CI82" s="91" t="str">
        <f>IF(AH82="-","-",VLOOKUP($G82,CTBat!$G$10:$AN$89,CI$9,FALSE)-AH82)</f>
        <v>-</v>
      </c>
      <c r="CJ82" s="91">
        <f>IF(AI82="-","-",VLOOKUP($G82,CTBat!$G$10:$AN$89,CJ$9,FALSE)-AI82)</f>
        <v>0</v>
      </c>
      <c r="CK82" s="91">
        <f>IF(AJ82="-","-",VLOOKUP($G82,CTBat!$G$10:$AN$89,CK$9,FALSE)-AJ82)</f>
        <v>0</v>
      </c>
      <c r="CL82" s="91">
        <f>IF(AK82="-","-",VLOOKUP($G82,CTBat!$G$10:$AN$89,CL$9,FALSE)-AK82)</f>
        <v>0</v>
      </c>
      <c r="CM82" s="91">
        <f>IF(AL82="-","-",VLOOKUP($G82,CTBat!$G$10:$AN$89,CM$9,FALSE)-AL82)</f>
        <v>0</v>
      </c>
      <c r="CN82" s="91">
        <f>IF(AM82="-","-",VLOOKUP($G82,CTBat!$G$10:$AN$89,CN$9,FALSE)-AM82)</f>
        <v>0</v>
      </c>
      <c r="CO82" s="91">
        <f>IF(AN82="-","-",VLOOKUP($G82,CTBat!$G$10:$AN$89,CO$9,FALSE)-AN82)</f>
        <v>0</v>
      </c>
      <c r="CP82" s="91">
        <f t="shared" si="113"/>
        <v>1</v>
      </c>
      <c r="CQ82" s="91">
        <f t="shared" si="114"/>
        <v>-2</v>
      </c>
      <c r="CR82" s="91">
        <f t="shared" si="115"/>
        <v>0</v>
      </c>
      <c r="CS82" s="91">
        <f t="shared" si="116"/>
        <v>0</v>
      </c>
      <c r="CT82" s="91">
        <f t="shared" si="117"/>
        <v>-1</v>
      </c>
    </row>
    <row r="83" spans="3:98">
      <c r="C83">
        <f t="shared" si="83"/>
        <v>1</v>
      </c>
      <c r="D83">
        <f t="shared" si="84"/>
        <v>1</v>
      </c>
      <c r="E83" t="str">
        <f t="shared" si="85"/>
        <v>K</v>
      </c>
      <c r="F83" t="s">
        <v>101</v>
      </c>
      <c r="G83" t="s">
        <v>425</v>
      </c>
      <c r="H83" t="s">
        <v>25</v>
      </c>
      <c r="I83" t="s">
        <v>212</v>
      </c>
      <c r="J83">
        <v>27</v>
      </c>
      <c r="K83" t="s">
        <v>106</v>
      </c>
      <c r="L83" t="s">
        <v>106</v>
      </c>
      <c r="M83" t="s">
        <v>40</v>
      </c>
      <c r="N83" s="223" t="s">
        <v>48</v>
      </c>
      <c r="O83" t="s">
        <v>230</v>
      </c>
      <c r="P83" s="223" t="s">
        <v>228</v>
      </c>
      <c r="Q83">
        <v>8</v>
      </c>
      <c r="R83">
        <v>7</v>
      </c>
      <c r="S83">
        <v>7</v>
      </c>
      <c r="T83">
        <v>6</v>
      </c>
      <c r="U83" s="223">
        <v>9</v>
      </c>
      <c r="V83">
        <v>8</v>
      </c>
      <c r="W83">
        <v>7</v>
      </c>
      <c r="X83">
        <v>7</v>
      </c>
      <c r="Y83">
        <v>6</v>
      </c>
      <c r="Z83" s="223">
        <v>9</v>
      </c>
      <c r="AA83">
        <v>1</v>
      </c>
      <c r="AB83">
        <v>4</v>
      </c>
      <c r="AC83">
        <v>1</v>
      </c>
      <c r="AD83" t="s">
        <v>41</v>
      </c>
      <c r="AE83" t="s">
        <v>41</v>
      </c>
      <c r="AF83" t="s">
        <v>41</v>
      </c>
      <c r="AG83" t="s">
        <v>41</v>
      </c>
      <c r="AH83" t="s">
        <v>41</v>
      </c>
      <c r="AI83">
        <v>10</v>
      </c>
      <c r="AJ83">
        <v>7</v>
      </c>
      <c r="AK83" s="223">
        <v>7</v>
      </c>
      <c r="AL83">
        <v>7</v>
      </c>
      <c r="AM83">
        <v>10</v>
      </c>
      <c r="AN83" s="223">
        <v>9</v>
      </c>
      <c r="AO83" s="85">
        <v>490000</v>
      </c>
      <c r="AP83" s="223" t="s">
        <v>45</v>
      </c>
      <c r="AQ83" s="6">
        <f t="shared" si="86"/>
        <v>7.5</v>
      </c>
      <c r="AR83" s="9" t="str">
        <f t="shared" si="87"/>
        <v>GoodReg</v>
      </c>
      <c r="AS83" s="6">
        <f t="shared" si="88"/>
        <v>7.5</v>
      </c>
      <c r="AT83" s="6" t="str">
        <f t="shared" si="89"/>
        <v>GoodReg</v>
      </c>
      <c r="AU83" s="9">
        <f t="shared" si="90"/>
        <v>7.5</v>
      </c>
      <c r="AV83" s="9" t="str">
        <f t="shared" si="91"/>
        <v>GoodReg</v>
      </c>
      <c r="AW83" s="53">
        <f t="shared" si="92"/>
        <v>1</v>
      </c>
      <c r="AX83" s="280">
        <f t="shared" si="93"/>
        <v>1</v>
      </c>
      <c r="AY83" s="280">
        <f t="shared" si="94"/>
        <v>0</v>
      </c>
      <c r="AZ83" s="280">
        <f t="shared" si="95"/>
        <v>0</v>
      </c>
      <c r="BA83" s="280">
        <f t="shared" si="96"/>
        <v>1</v>
      </c>
      <c r="BB83" s="280">
        <f t="shared" si="97"/>
        <v>1</v>
      </c>
      <c r="BC83" s="280">
        <f t="shared" si="98"/>
        <v>1</v>
      </c>
      <c r="BD83" s="280">
        <f t="shared" si="99"/>
        <v>1</v>
      </c>
      <c r="BE83" s="281">
        <f t="shared" si="100"/>
        <v>1</v>
      </c>
      <c r="BF83" s="53">
        <f t="shared" si="101"/>
        <v>1</v>
      </c>
      <c r="BG83" s="280">
        <f t="shared" si="102"/>
        <v>1</v>
      </c>
      <c r="BH83" s="280">
        <f t="shared" si="103"/>
        <v>0</v>
      </c>
      <c r="BI83" s="280">
        <f t="shared" si="104"/>
        <v>0</v>
      </c>
      <c r="BJ83" s="280">
        <f t="shared" si="105"/>
        <v>1</v>
      </c>
      <c r="BK83" s="280">
        <f t="shared" si="106"/>
        <v>1</v>
      </c>
      <c r="BL83" s="280">
        <f t="shared" si="107"/>
        <v>1</v>
      </c>
      <c r="BM83" s="280">
        <f t="shared" si="108"/>
        <v>1</v>
      </c>
      <c r="BN83" s="281">
        <f t="shared" si="109"/>
        <v>1</v>
      </c>
      <c r="BO83" s="281">
        <f t="shared" si="110"/>
        <v>4</v>
      </c>
      <c r="BP83" s="7">
        <f t="shared" si="111"/>
        <v>2</v>
      </c>
      <c r="BQ83" t="str">
        <f t="shared" si="112"/>
        <v/>
      </c>
      <c r="BR83" s="91">
        <f>IF(Q83="-","-",VLOOKUP($G83,CTBat!$G$10:$AN$89,BR$9,FALSE)-Q83)</f>
        <v>0</v>
      </c>
      <c r="BS83" s="91">
        <f>IF(R83="-","-",VLOOKUP($G83,CTBat!$G$10:$AN$89,BS$9,FALSE)-R83)</f>
        <v>0</v>
      </c>
      <c r="BT83" s="91">
        <f>IF(S83="-","-",VLOOKUP($G83,CTBat!$G$10:$AN$89,BT$9,FALSE)-S83)</f>
        <v>0</v>
      </c>
      <c r="BU83" s="91">
        <f>IF(T83="-","-",VLOOKUP($G83,CTBat!$G$10:$AN$89,BU$9,FALSE)-T83)</f>
        <v>0</v>
      </c>
      <c r="BV83" s="91">
        <f>IF(U83="-","-",VLOOKUP($G83,CTBat!$G$10:$AN$89,BV$9,FALSE)-U83)</f>
        <v>-1</v>
      </c>
      <c r="BW83" s="91">
        <f>IF(V83="-","-",VLOOKUP($G83,CTBat!$G$10:$AN$89,BW$9,FALSE)-V83)</f>
        <v>0</v>
      </c>
      <c r="BX83" s="91">
        <f>IF(W83="-","-",VLOOKUP($G83,CTBat!$G$10:$AN$89,BX$9,FALSE)-W83)</f>
        <v>0</v>
      </c>
      <c r="BY83" s="91">
        <f>IF(X83="-","-",VLOOKUP($G83,CTBat!$G$10:$AN$89,BY$9,FALSE)-X83)</f>
        <v>0</v>
      </c>
      <c r="BZ83" s="91">
        <f>IF(Y83="-","-",VLOOKUP($G83,CTBat!$G$10:$AN$89,BZ$9,FALSE)-Y83)</f>
        <v>0</v>
      </c>
      <c r="CA83" s="91">
        <f>IF(Z83="-","-",VLOOKUP($G83,CTBat!$G$10:$AN$89,CA$9,FALSE)-Z83)</f>
        <v>-1</v>
      </c>
      <c r="CB83" s="91">
        <f>IF(AA83="-","-",VLOOKUP($G83,CTBat!$G$10:$AN$89,CB$9,FALSE)-AA83)</f>
        <v>0</v>
      </c>
      <c r="CC83" s="91">
        <f>IF(AB83="-","-",VLOOKUP($G83,CTBat!$G$10:$AN$89,CC$9,FALSE)-AB83)</f>
        <v>0</v>
      </c>
      <c r="CD83" s="91">
        <f>IF(AC83="-","-",VLOOKUP($G83,CTBat!$G$10:$AN$89,CD$9,FALSE)-AC83)</f>
        <v>0</v>
      </c>
      <c r="CE83" s="91" t="str">
        <f>IF(AD83="-","-",VLOOKUP($G83,CTBat!$G$10:$AN$89,CE$9,FALSE)-AD83)</f>
        <v>-</v>
      </c>
      <c r="CF83" s="91" t="str">
        <f>IF(AE83="-","-",VLOOKUP($G83,CTBat!$G$10:$AN$89,CF$9,FALSE)-AE83)</f>
        <v>-</v>
      </c>
      <c r="CG83" s="91" t="str">
        <f>IF(AF83="-","-",VLOOKUP($G83,CTBat!$G$10:$AN$89,CG$9,FALSE)-AF83)</f>
        <v>-</v>
      </c>
      <c r="CH83" s="91" t="str">
        <f>IF(AG83="-","-",VLOOKUP($G83,CTBat!$G$10:$AN$89,CH$9,FALSE)-AG83)</f>
        <v>-</v>
      </c>
      <c r="CI83" s="91" t="str">
        <f>IF(AH83="-","-",VLOOKUP($G83,CTBat!$G$10:$AN$89,CI$9,FALSE)-AH83)</f>
        <v>-</v>
      </c>
      <c r="CJ83" s="91">
        <f>IF(AI83="-","-",VLOOKUP($G83,CTBat!$G$10:$AN$89,CJ$9,FALSE)-AI83)</f>
        <v>0</v>
      </c>
      <c r="CK83" s="91">
        <f>IF(AJ83="-","-",VLOOKUP($G83,CTBat!$G$10:$AN$89,CK$9,FALSE)-AJ83)</f>
        <v>0</v>
      </c>
      <c r="CL83" s="91">
        <f>IF(AK83="-","-",VLOOKUP($G83,CTBat!$G$10:$AN$89,CL$9,FALSE)-AK83)</f>
        <v>1</v>
      </c>
      <c r="CM83" s="91">
        <f>IF(AL83="-","-",VLOOKUP($G83,CTBat!$G$10:$AN$89,CM$9,FALSE)-AL83)</f>
        <v>0</v>
      </c>
      <c r="CN83" s="91">
        <f>IF(AM83="-","-",VLOOKUP($G83,CTBat!$G$10:$AN$89,CN$9,FALSE)-AM83)</f>
        <v>0</v>
      </c>
      <c r="CO83" s="91">
        <f>IF(AN83="-","-",VLOOKUP($G83,CTBat!$G$10:$AN$89,CO$9,FALSE)-AN83)</f>
        <v>0</v>
      </c>
      <c r="CP83" s="91">
        <f t="shared" si="113"/>
        <v>-1</v>
      </c>
      <c r="CQ83" s="91">
        <f t="shared" si="114"/>
        <v>-1</v>
      </c>
      <c r="CR83" s="91">
        <f t="shared" si="115"/>
        <v>1</v>
      </c>
      <c r="CS83" s="91">
        <f t="shared" si="116"/>
        <v>0</v>
      </c>
      <c r="CT83" s="91">
        <f t="shared" si="117"/>
        <v>-1</v>
      </c>
    </row>
    <row r="84" spans="3:98">
      <c r="C84">
        <f t="shared" si="83"/>
        <v>7</v>
      </c>
      <c r="D84">
        <f t="shared" si="84"/>
        <v>7</v>
      </c>
      <c r="E84" t="str">
        <f t="shared" si="85"/>
        <v>K</v>
      </c>
      <c r="F84" t="s">
        <v>95</v>
      </c>
      <c r="G84" t="s">
        <v>305</v>
      </c>
      <c r="H84" t="s">
        <v>384</v>
      </c>
      <c r="I84" t="s">
        <v>213</v>
      </c>
      <c r="J84">
        <v>24</v>
      </c>
      <c r="K84" t="s">
        <v>109</v>
      </c>
      <c r="L84" t="s">
        <v>107</v>
      </c>
      <c r="M84" t="s">
        <v>47</v>
      </c>
      <c r="N84" s="223" t="s">
        <v>47</v>
      </c>
      <c r="O84" t="s">
        <v>231</v>
      </c>
      <c r="P84" s="223" t="s">
        <v>231</v>
      </c>
      <c r="Q84">
        <v>5</v>
      </c>
      <c r="R84">
        <v>6</v>
      </c>
      <c r="S84">
        <v>4</v>
      </c>
      <c r="T84">
        <v>7</v>
      </c>
      <c r="U84" s="223">
        <v>6</v>
      </c>
      <c r="V84">
        <v>5</v>
      </c>
      <c r="W84">
        <v>6</v>
      </c>
      <c r="X84">
        <v>4</v>
      </c>
      <c r="Y84">
        <v>7</v>
      </c>
      <c r="Z84" s="223">
        <v>6</v>
      </c>
      <c r="AA84">
        <v>4</v>
      </c>
      <c r="AB84">
        <v>4</v>
      </c>
      <c r="AC84">
        <v>6</v>
      </c>
      <c r="AD84">
        <v>5</v>
      </c>
      <c r="AE84" t="s">
        <v>41</v>
      </c>
      <c r="AF84" t="s">
        <v>41</v>
      </c>
      <c r="AG84" t="s">
        <v>41</v>
      </c>
      <c r="AH84" t="s">
        <v>41</v>
      </c>
      <c r="AI84" t="s">
        <v>41</v>
      </c>
      <c r="AJ84" t="s">
        <v>41</v>
      </c>
      <c r="AK84" s="223" t="s">
        <v>41</v>
      </c>
      <c r="AL84">
        <v>6</v>
      </c>
      <c r="AM84">
        <v>4</v>
      </c>
      <c r="AN84" s="223">
        <v>2</v>
      </c>
      <c r="AO84" s="85" t="s">
        <v>41</v>
      </c>
      <c r="AP84" s="223">
        <v>0</v>
      </c>
      <c r="AQ84" s="6">
        <f t="shared" si="86"/>
        <v>4.833333333333333</v>
      </c>
      <c r="AR84" s="9" t="str">
        <f t="shared" si="87"/>
        <v>Bench</v>
      </c>
      <c r="AS84" s="6">
        <f t="shared" si="88"/>
        <v>4.833333333333333</v>
      </c>
      <c r="AT84" s="6" t="str">
        <f t="shared" si="89"/>
        <v>Bench</v>
      </c>
      <c r="AU84" s="9">
        <f t="shared" si="90"/>
        <v>4.833333333333333</v>
      </c>
      <c r="AV84" s="9" t="str">
        <f t="shared" si="91"/>
        <v>Bench</v>
      </c>
      <c r="AW84" s="53">
        <f t="shared" si="92"/>
        <v>0</v>
      </c>
      <c r="AX84" s="280">
        <f t="shared" si="93"/>
        <v>0</v>
      </c>
      <c r="AY84" s="280">
        <f t="shared" si="94"/>
        <v>0</v>
      </c>
      <c r="AZ84" s="280">
        <f t="shared" si="95"/>
        <v>0</v>
      </c>
      <c r="BA84" s="280">
        <f t="shared" si="96"/>
        <v>0</v>
      </c>
      <c r="BB84" s="280">
        <f t="shared" si="97"/>
        <v>0</v>
      </c>
      <c r="BC84" s="280">
        <f t="shared" si="98"/>
        <v>1</v>
      </c>
      <c r="BD84" s="280">
        <f t="shared" si="99"/>
        <v>1</v>
      </c>
      <c r="BE84" s="281">
        <f t="shared" si="100"/>
        <v>1</v>
      </c>
      <c r="BF84" s="53">
        <f t="shared" si="101"/>
        <v>0</v>
      </c>
      <c r="BG84" s="280">
        <f t="shared" si="102"/>
        <v>0</v>
      </c>
      <c r="BH84" s="280">
        <f t="shared" si="103"/>
        <v>0</v>
      </c>
      <c r="BI84" s="280">
        <f t="shared" si="104"/>
        <v>0</v>
      </c>
      <c r="BJ84" s="280">
        <f t="shared" si="105"/>
        <v>0</v>
      </c>
      <c r="BK84" s="280">
        <f t="shared" si="106"/>
        <v>0</v>
      </c>
      <c r="BL84" s="280">
        <f t="shared" si="107"/>
        <v>1</v>
      </c>
      <c r="BM84" s="280">
        <f t="shared" si="108"/>
        <v>1</v>
      </c>
      <c r="BN84" s="281">
        <f t="shared" si="109"/>
        <v>1</v>
      </c>
      <c r="BO84" s="281">
        <f t="shared" si="110"/>
        <v>0</v>
      </c>
      <c r="BP84" s="7">
        <f t="shared" si="111"/>
        <v>1</v>
      </c>
      <c r="BQ84" t="str">
        <f t="shared" si="112"/>
        <v/>
      </c>
      <c r="BR84" s="91">
        <f>IF(Q84="-","-",VLOOKUP($G84,CTBat!$G$10:$AN$89,BR$9,FALSE)-Q84)</f>
        <v>0</v>
      </c>
      <c r="BS84" s="91">
        <f>IF(R84="-","-",VLOOKUP($G84,CTBat!$G$10:$AN$89,BS$9,FALSE)-R84)</f>
        <v>0</v>
      </c>
      <c r="BT84" s="91">
        <f>IF(S84="-","-",VLOOKUP($G84,CTBat!$G$10:$AN$89,BT$9,FALSE)-S84)</f>
        <v>0</v>
      </c>
      <c r="BU84" s="91">
        <f>IF(T84="-","-",VLOOKUP($G84,CTBat!$G$10:$AN$89,BU$9,FALSE)-T84)</f>
        <v>-1</v>
      </c>
      <c r="BV84" s="91">
        <f>IF(U84="-","-",VLOOKUP($G84,CTBat!$G$10:$AN$89,BV$9,FALSE)-U84)</f>
        <v>0</v>
      </c>
      <c r="BW84" s="91">
        <f>IF(V84="-","-",VLOOKUP($G84,CTBat!$G$10:$AN$89,BW$9,FALSE)-V84)</f>
        <v>0</v>
      </c>
      <c r="BX84" s="91">
        <f>IF(W84="-","-",VLOOKUP($G84,CTBat!$G$10:$AN$89,BX$9,FALSE)-W84)</f>
        <v>0</v>
      </c>
      <c r="BY84" s="91">
        <f>IF(X84="-","-",VLOOKUP($G84,CTBat!$G$10:$AN$89,BY$9,FALSE)-X84)</f>
        <v>0</v>
      </c>
      <c r="BZ84" s="91">
        <f>IF(Y84="-","-",VLOOKUP($G84,CTBat!$G$10:$AN$89,BZ$9,FALSE)-Y84)</f>
        <v>0</v>
      </c>
      <c r="CA84" s="91">
        <f>IF(Z84="-","-",VLOOKUP($G84,CTBat!$G$10:$AN$89,CA$9,FALSE)-Z84)</f>
        <v>0</v>
      </c>
      <c r="CB84" s="91">
        <f>IF(AA84="-","-",VLOOKUP($G84,CTBat!$G$10:$AN$89,CB$9,FALSE)-AA84)</f>
        <v>0</v>
      </c>
      <c r="CC84" s="91">
        <f>IF(AB84="-","-",VLOOKUP($G84,CTBat!$G$10:$AN$89,CC$9,FALSE)-AB84)</f>
        <v>0</v>
      </c>
      <c r="CD84" s="91">
        <f>IF(AC84="-","-",VLOOKUP($G84,CTBat!$G$10:$AN$89,CD$9,FALSE)-AC84)</f>
        <v>0</v>
      </c>
      <c r="CE84" s="91">
        <f>IF(AD84="-","-",VLOOKUP($G84,CTBat!$G$10:$AN$89,CE$9,FALSE)-AD84)</f>
        <v>0</v>
      </c>
      <c r="CF84" s="91" t="str">
        <f>IF(AE84="-","-",VLOOKUP($G84,CTBat!$G$10:$AN$89,CF$9,FALSE)-AE84)</f>
        <v>-</v>
      </c>
      <c r="CG84" s="91" t="str">
        <f>IF(AF84="-","-",VLOOKUP($G84,CTBat!$G$10:$AN$89,CG$9,FALSE)-AF84)</f>
        <v>-</v>
      </c>
      <c r="CH84" s="91" t="str">
        <f>IF(AG84="-","-",VLOOKUP($G84,CTBat!$G$10:$AN$89,CH$9,FALSE)-AG84)</f>
        <v>-</v>
      </c>
      <c r="CI84" s="91" t="str">
        <f>IF(AH84="-","-",VLOOKUP($G84,CTBat!$G$10:$AN$89,CI$9,FALSE)-AH84)</f>
        <v>-</v>
      </c>
      <c r="CJ84" s="91" t="str">
        <f>IF(AI84="-","-",VLOOKUP($G84,CTBat!$G$10:$AN$89,CJ$9,FALSE)-AI84)</f>
        <v>-</v>
      </c>
      <c r="CK84" s="91" t="str">
        <f>IF(AJ84="-","-",VLOOKUP($G84,CTBat!$G$10:$AN$89,CK$9,FALSE)-AJ84)</f>
        <v>-</v>
      </c>
      <c r="CL84" s="91" t="str">
        <f>IF(AK84="-","-",VLOOKUP($G84,CTBat!$G$10:$AN$89,CL$9,FALSE)-AK84)</f>
        <v>-</v>
      </c>
      <c r="CM84" s="91">
        <f>IF(AL84="-","-",VLOOKUP($G84,CTBat!$G$10:$AN$89,CM$9,FALSE)-AL84)</f>
        <v>0</v>
      </c>
      <c r="CN84" s="91">
        <f>IF(AM84="-","-",VLOOKUP($G84,CTBat!$G$10:$AN$89,CN$9,FALSE)-AM84)</f>
        <v>0</v>
      </c>
      <c r="CO84" s="91">
        <f>IF(AN84="-","-",VLOOKUP($G84,CTBat!$G$10:$AN$89,CO$9,FALSE)-AN84)</f>
        <v>0</v>
      </c>
      <c r="CP84" s="91">
        <f t="shared" si="113"/>
        <v>-1</v>
      </c>
      <c r="CQ84" s="91">
        <f t="shared" si="114"/>
        <v>0</v>
      </c>
      <c r="CR84" s="91">
        <f t="shared" si="115"/>
        <v>0</v>
      </c>
      <c r="CS84" s="91">
        <f t="shared" si="116"/>
        <v>0</v>
      </c>
      <c r="CT84" s="91">
        <f t="shared" si="117"/>
        <v>-1</v>
      </c>
    </row>
    <row r="85" spans="3:98">
      <c r="C85" t="str">
        <f t="shared" si="83"/>
        <v>-</v>
      </c>
      <c r="D85" t="str">
        <f t="shared" si="84"/>
        <v>-</v>
      </c>
      <c r="E85" t="str">
        <f t="shared" si="85"/>
        <v>K</v>
      </c>
      <c r="F85" t="s">
        <v>97</v>
      </c>
      <c r="G85" t="s">
        <v>240</v>
      </c>
      <c r="H85" t="s">
        <v>385</v>
      </c>
      <c r="I85" t="s">
        <v>214</v>
      </c>
      <c r="J85">
        <v>23</v>
      </c>
      <c r="K85" t="s">
        <v>107</v>
      </c>
      <c r="L85" t="s">
        <v>107</v>
      </c>
      <c r="M85" t="s">
        <v>47</v>
      </c>
      <c r="N85" s="3" t="s">
        <v>47</v>
      </c>
      <c r="O85" t="s">
        <v>229</v>
      </c>
      <c r="P85" s="3" t="s">
        <v>229</v>
      </c>
      <c r="Q85">
        <v>5</v>
      </c>
      <c r="R85">
        <v>6</v>
      </c>
      <c r="S85">
        <v>1</v>
      </c>
      <c r="T85">
        <v>4</v>
      </c>
      <c r="U85" s="3">
        <v>3</v>
      </c>
      <c r="V85">
        <v>6</v>
      </c>
      <c r="W85">
        <v>6</v>
      </c>
      <c r="X85">
        <v>2</v>
      </c>
      <c r="Y85">
        <v>5</v>
      </c>
      <c r="Z85" s="3">
        <v>4</v>
      </c>
      <c r="AA85">
        <v>4</v>
      </c>
      <c r="AB85">
        <v>3</v>
      </c>
      <c r="AC85">
        <v>1</v>
      </c>
      <c r="AD85" t="s">
        <v>41</v>
      </c>
      <c r="AE85">
        <v>6</v>
      </c>
      <c r="AF85">
        <v>2</v>
      </c>
      <c r="AG85">
        <v>1</v>
      </c>
      <c r="AH85">
        <v>1</v>
      </c>
      <c r="AI85">
        <v>1</v>
      </c>
      <c r="AJ85" t="s">
        <v>41</v>
      </c>
      <c r="AK85" s="3" t="s">
        <v>41</v>
      </c>
      <c r="AL85">
        <v>3</v>
      </c>
      <c r="AM85">
        <v>5</v>
      </c>
      <c r="AN85" s="3">
        <v>4</v>
      </c>
      <c r="AO85" t="s">
        <v>41</v>
      </c>
      <c r="AP85" s="3">
        <v>0</v>
      </c>
      <c r="AQ85" s="6">
        <f t="shared" si="86"/>
        <v>2.8333333333333335</v>
      </c>
      <c r="AR85" s="9" t="str">
        <f t="shared" si="87"/>
        <v>Minors</v>
      </c>
      <c r="AS85" s="6">
        <f t="shared" si="88"/>
        <v>4.333333333333333</v>
      </c>
      <c r="AT85" s="6" t="str">
        <f t="shared" si="89"/>
        <v>Bench</v>
      </c>
      <c r="AU85" s="9">
        <f t="shared" si="90"/>
        <v>4.333333333333333</v>
      </c>
      <c r="AV85" s="9" t="str">
        <f t="shared" si="91"/>
        <v>Bench</v>
      </c>
      <c r="AW85" s="53">
        <f t="shared" si="92"/>
        <v>0</v>
      </c>
      <c r="AX85" s="280">
        <f t="shared" si="93"/>
        <v>0</v>
      </c>
      <c r="AY85" s="280">
        <f t="shared" si="94"/>
        <v>0</v>
      </c>
      <c r="AZ85" s="280">
        <f t="shared" si="95"/>
        <v>0</v>
      </c>
      <c r="BA85" s="280">
        <f t="shared" si="96"/>
        <v>0</v>
      </c>
      <c r="BB85" s="280">
        <f t="shared" si="97"/>
        <v>0</v>
      </c>
      <c r="BC85" s="280">
        <f t="shared" si="98"/>
        <v>0</v>
      </c>
      <c r="BD85" s="280">
        <f t="shared" si="99"/>
        <v>0</v>
      </c>
      <c r="BE85" s="281">
        <f t="shared" si="100"/>
        <v>0</v>
      </c>
      <c r="BF85" s="53">
        <f t="shared" si="101"/>
        <v>0</v>
      </c>
      <c r="BG85" s="280">
        <f t="shared" si="102"/>
        <v>0</v>
      </c>
      <c r="BH85" s="280">
        <f t="shared" si="103"/>
        <v>0</v>
      </c>
      <c r="BI85" s="280">
        <f t="shared" si="104"/>
        <v>0</v>
      </c>
      <c r="BJ85" s="280">
        <f t="shared" si="105"/>
        <v>0</v>
      </c>
      <c r="BK85" s="280">
        <f t="shared" si="106"/>
        <v>0</v>
      </c>
      <c r="BL85" s="280">
        <f t="shared" si="107"/>
        <v>0</v>
      </c>
      <c r="BM85" s="280">
        <f t="shared" si="108"/>
        <v>0</v>
      </c>
      <c r="BN85" s="281">
        <f t="shared" si="109"/>
        <v>0</v>
      </c>
      <c r="BO85" s="281">
        <f t="shared" si="110"/>
        <v>0</v>
      </c>
      <c r="BP85" s="7">
        <f t="shared" si="111"/>
        <v>1</v>
      </c>
      <c r="BQ85" t="str">
        <f t="shared" si="112"/>
        <v/>
      </c>
      <c r="BR85" s="91">
        <f>IF(Q85="-","-",VLOOKUP($G85,CTBat!$G$10:$AN$89,BR$9,FALSE)-Q85)</f>
        <v>0</v>
      </c>
      <c r="BS85" s="91">
        <f>IF(R85="-","-",VLOOKUP($G85,CTBat!$G$10:$AN$89,BS$9,FALSE)-R85)</f>
        <v>0</v>
      </c>
      <c r="BT85" s="91">
        <f>IF(S85="-","-",VLOOKUP($G85,CTBat!$G$10:$AN$89,BT$9,FALSE)-S85)</f>
        <v>0</v>
      </c>
      <c r="BU85" s="91">
        <f>IF(T85="-","-",VLOOKUP($G85,CTBat!$G$10:$AN$89,BU$9,FALSE)-T85)</f>
        <v>0</v>
      </c>
      <c r="BV85" s="91">
        <f>IF(U85="-","-",VLOOKUP($G85,CTBat!$G$10:$AN$89,BV$9,FALSE)-U85)</f>
        <v>0</v>
      </c>
      <c r="BW85" s="91">
        <f>IF(V85="-","-",VLOOKUP($G85,CTBat!$G$10:$AN$89,BW$9,FALSE)-V85)</f>
        <v>0</v>
      </c>
      <c r="BX85" s="91">
        <f>IF(W85="-","-",VLOOKUP($G85,CTBat!$G$10:$AN$89,BX$9,FALSE)-W85)</f>
        <v>0</v>
      </c>
      <c r="BY85" s="91">
        <f>IF(X85="-","-",VLOOKUP($G85,CTBat!$G$10:$AN$89,BY$9,FALSE)-X85)</f>
        <v>0</v>
      </c>
      <c r="BZ85" s="91">
        <f>IF(Y85="-","-",VLOOKUP($G85,CTBat!$G$10:$AN$89,BZ$9,FALSE)-Y85)</f>
        <v>0</v>
      </c>
      <c r="CA85" s="91">
        <f>IF(Z85="-","-",VLOOKUP($G85,CTBat!$G$10:$AN$89,CA$9,FALSE)-Z85)</f>
        <v>0</v>
      </c>
      <c r="CB85" s="91">
        <f>IF(AA85="-","-",VLOOKUP($G85,CTBat!$G$10:$AN$89,CB$9,FALSE)-AA85)</f>
        <v>0</v>
      </c>
      <c r="CC85" s="91">
        <f>IF(AB85="-","-",VLOOKUP($G85,CTBat!$G$10:$AN$89,CC$9,FALSE)-AB85)</f>
        <v>0</v>
      </c>
      <c r="CD85" s="91">
        <f>IF(AC85="-","-",VLOOKUP($G85,CTBat!$G$10:$AN$89,CD$9,FALSE)-AC85)</f>
        <v>0</v>
      </c>
      <c r="CE85" s="91" t="str">
        <f>IF(AD85="-","-",VLOOKUP($G85,CTBat!$G$10:$AN$89,CE$9,FALSE)-AD85)</f>
        <v>-</v>
      </c>
      <c r="CF85" s="91">
        <f>IF(AE85="-","-",VLOOKUP($G85,CTBat!$G$10:$AN$89,CF$9,FALSE)-AE85)</f>
        <v>0</v>
      </c>
      <c r="CG85" s="91">
        <f>IF(AF85="-","-",VLOOKUP($G85,CTBat!$G$10:$AN$89,CG$9,FALSE)-AF85)</f>
        <v>0</v>
      </c>
      <c r="CH85" s="91">
        <f>IF(AG85="-","-",VLOOKUP($G85,CTBat!$G$10:$AN$89,CH$9,FALSE)-AG85)</f>
        <v>0</v>
      </c>
      <c r="CI85" s="91">
        <f>IF(AH85="-","-",VLOOKUP($G85,CTBat!$G$10:$AN$89,CI$9,FALSE)-AH85)</f>
        <v>0</v>
      </c>
      <c r="CJ85" s="91">
        <f>IF(AI85="-","-",VLOOKUP($G85,CTBat!$G$10:$AN$89,CJ$9,FALSE)-AI85)</f>
        <v>0</v>
      </c>
      <c r="CK85" s="91" t="str">
        <f>IF(AJ85="-","-",VLOOKUP($G85,CTBat!$G$10:$AN$89,CK$9,FALSE)-AJ85)</f>
        <v>-</v>
      </c>
      <c r="CL85" s="91" t="str">
        <f>IF(AK85="-","-",VLOOKUP($G85,CTBat!$G$10:$AN$89,CL$9,FALSE)-AK85)</f>
        <v>-</v>
      </c>
      <c r="CM85" s="91">
        <f>IF(AL85="-","-",VLOOKUP($G85,CTBat!$G$10:$AN$89,CM$9,FALSE)-AL85)</f>
        <v>-1</v>
      </c>
      <c r="CN85" s="91">
        <f>IF(AM85="-","-",VLOOKUP($G85,CTBat!$G$10:$AN$89,CN$9,FALSE)-AM85)</f>
        <v>0</v>
      </c>
      <c r="CO85" s="91">
        <f>IF(AN85="-","-",VLOOKUP($G85,CTBat!$G$10:$AN$89,CO$9,FALSE)-AN85)</f>
        <v>0</v>
      </c>
      <c r="CP85" s="91">
        <f t="shared" si="113"/>
        <v>0</v>
      </c>
      <c r="CQ85" s="91">
        <f t="shared" si="114"/>
        <v>0</v>
      </c>
      <c r="CR85" s="91">
        <f t="shared" si="115"/>
        <v>0</v>
      </c>
      <c r="CS85" s="91">
        <f t="shared" si="116"/>
        <v>-1</v>
      </c>
      <c r="CT85" s="91">
        <f t="shared" si="117"/>
        <v>-1</v>
      </c>
    </row>
    <row r="86" spans="3:98">
      <c r="C86">
        <f t="shared" si="83"/>
        <v>7</v>
      </c>
      <c r="D86">
        <f t="shared" si="84"/>
        <v>7</v>
      </c>
      <c r="E86" t="str">
        <f t="shared" si="85"/>
        <v>K</v>
      </c>
      <c r="F86" t="s">
        <v>97</v>
      </c>
      <c r="G86" t="s">
        <v>472</v>
      </c>
      <c r="H86" t="s">
        <v>25</v>
      </c>
      <c r="I86" t="s">
        <v>212</v>
      </c>
      <c r="J86">
        <v>28</v>
      </c>
      <c r="K86" t="s">
        <v>107</v>
      </c>
      <c r="L86" t="s">
        <v>107</v>
      </c>
      <c r="M86" t="s">
        <v>42</v>
      </c>
      <c r="N86" s="3" t="s">
        <v>42</v>
      </c>
      <c r="O86" t="s">
        <v>230</v>
      </c>
      <c r="P86" s="3" t="s">
        <v>230</v>
      </c>
      <c r="Q86">
        <v>6</v>
      </c>
      <c r="R86">
        <v>9</v>
      </c>
      <c r="S86">
        <v>9</v>
      </c>
      <c r="T86">
        <v>6</v>
      </c>
      <c r="U86" s="3">
        <v>3</v>
      </c>
      <c r="V86">
        <v>6</v>
      </c>
      <c r="W86">
        <v>9</v>
      </c>
      <c r="X86">
        <v>9</v>
      </c>
      <c r="Y86">
        <v>6</v>
      </c>
      <c r="Z86" s="3">
        <v>3</v>
      </c>
      <c r="AA86">
        <v>3</v>
      </c>
      <c r="AB86">
        <v>3</v>
      </c>
      <c r="AC86">
        <v>1</v>
      </c>
      <c r="AD86" t="s">
        <v>41</v>
      </c>
      <c r="AE86">
        <v>6</v>
      </c>
      <c r="AF86" t="s">
        <v>41</v>
      </c>
      <c r="AG86" t="s">
        <v>41</v>
      </c>
      <c r="AH86" t="s">
        <v>41</v>
      </c>
      <c r="AI86" t="s">
        <v>41</v>
      </c>
      <c r="AJ86" t="s">
        <v>41</v>
      </c>
      <c r="AK86" s="3" t="s">
        <v>41</v>
      </c>
      <c r="AL86">
        <v>1</v>
      </c>
      <c r="AM86">
        <v>3</v>
      </c>
      <c r="AN86" s="3">
        <v>3</v>
      </c>
      <c r="AO86" s="85">
        <v>490000</v>
      </c>
      <c r="AP86" s="3" t="s">
        <v>45</v>
      </c>
      <c r="AQ86" s="6">
        <f t="shared" si="86"/>
        <v>7.75</v>
      </c>
      <c r="AR86" s="9" t="str">
        <f t="shared" si="87"/>
        <v>GoodReg</v>
      </c>
      <c r="AS86" s="6">
        <f t="shared" si="88"/>
        <v>7.75</v>
      </c>
      <c r="AT86" s="6" t="str">
        <f t="shared" si="89"/>
        <v>GoodReg</v>
      </c>
      <c r="AU86" s="9">
        <f t="shared" si="90"/>
        <v>7.75</v>
      </c>
      <c r="AV86" s="9" t="str">
        <f t="shared" si="91"/>
        <v>GoodReg</v>
      </c>
      <c r="AW86" s="53">
        <f t="shared" si="92"/>
        <v>0</v>
      </c>
      <c r="AX86" s="280">
        <f t="shared" si="93"/>
        <v>0</v>
      </c>
      <c r="AY86" s="280">
        <f t="shared" si="94"/>
        <v>0</v>
      </c>
      <c r="AZ86" s="280">
        <f t="shared" si="95"/>
        <v>0</v>
      </c>
      <c r="BA86" s="280">
        <f t="shared" si="96"/>
        <v>0</v>
      </c>
      <c r="BB86" s="280">
        <f t="shared" si="97"/>
        <v>0</v>
      </c>
      <c r="BC86" s="280">
        <f t="shared" si="98"/>
        <v>1</v>
      </c>
      <c r="BD86" s="280">
        <f t="shared" si="99"/>
        <v>1</v>
      </c>
      <c r="BE86" s="281">
        <f t="shared" si="100"/>
        <v>1</v>
      </c>
      <c r="BF86" s="53">
        <f t="shared" si="101"/>
        <v>0</v>
      </c>
      <c r="BG86" s="280">
        <f t="shared" si="102"/>
        <v>0</v>
      </c>
      <c r="BH86" s="280">
        <f t="shared" si="103"/>
        <v>0</v>
      </c>
      <c r="BI86" s="280">
        <f t="shared" si="104"/>
        <v>0</v>
      </c>
      <c r="BJ86" s="280">
        <f t="shared" si="105"/>
        <v>0</v>
      </c>
      <c r="BK86" s="280">
        <f t="shared" si="106"/>
        <v>0</v>
      </c>
      <c r="BL86" s="280">
        <f t="shared" si="107"/>
        <v>1</v>
      </c>
      <c r="BM86" s="280">
        <f t="shared" si="108"/>
        <v>1</v>
      </c>
      <c r="BN86" s="281">
        <f t="shared" si="109"/>
        <v>1</v>
      </c>
      <c r="BO86" s="281">
        <f t="shared" si="110"/>
        <v>0</v>
      </c>
      <c r="BP86" s="7">
        <f t="shared" si="111"/>
        <v>1</v>
      </c>
      <c r="BQ86" t="str">
        <f t="shared" si="112"/>
        <v/>
      </c>
      <c r="BR86" s="91">
        <f>IF(Q86="-","-",VLOOKUP($G86,CTBat!$G$10:$AN$89,BR$9,FALSE)-Q86)</f>
        <v>-1</v>
      </c>
      <c r="BS86" s="91">
        <f>IF(R86="-","-",VLOOKUP($G86,CTBat!$G$10:$AN$89,BS$9,FALSE)-R86)</f>
        <v>0</v>
      </c>
      <c r="BT86" s="91">
        <f>IF(S86="-","-",VLOOKUP($G86,CTBat!$G$10:$AN$89,BT$9,FALSE)-S86)</f>
        <v>0</v>
      </c>
      <c r="BU86" s="91">
        <f>IF(T86="-","-",VLOOKUP($G86,CTBat!$G$10:$AN$89,BU$9,FALSE)-T86)</f>
        <v>0</v>
      </c>
      <c r="BV86" s="91">
        <f>IF(U86="-","-",VLOOKUP($G86,CTBat!$G$10:$AN$89,BV$9,FALSE)-U86)</f>
        <v>0</v>
      </c>
      <c r="BW86" s="91">
        <f>IF(V86="-","-",VLOOKUP($G86,CTBat!$G$10:$AN$89,BW$9,FALSE)-V86)</f>
        <v>-1</v>
      </c>
      <c r="BX86" s="91">
        <f>IF(W86="-","-",VLOOKUP($G86,CTBat!$G$10:$AN$89,BX$9,FALSE)-W86)</f>
        <v>0</v>
      </c>
      <c r="BY86" s="91">
        <f>IF(X86="-","-",VLOOKUP($G86,CTBat!$G$10:$AN$89,BY$9,FALSE)-X86)</f>
        <v>0</v>
      </c>
      <c r="BZ86" s="91">
        <f>IF(Y86="-","-",VLOOKUP($G86,CTBat!$G$10:$AN$89,BZ$9,FALSE)-Y86)</f>
        <v>0</v>
      </c>
      <c r="CA86" s="91">
        <f>IF(Z86="-","-",VLOOKUP($G86,CTBat!$G$10:$AN$89,CA$9,FALSE)-Z86)</f>
        <v>0</v>
      </c>
      <c r="CB86" s="91">
        <f>IF(AA86="-","-",VLOOKUP($G86,CTBat!$G$10:$AN$89,CB$9,FALSE)-AA86)</f>
        <v>0</v>
      </c>
      <c r="CC86" s="91">
        <f>IF(AB86="-","-",VLOOKUP($G86,CTBat!$G$10:$AN$89,CC$9,FALSE)-AB86)</f>
        <v>0</v>
      </c>
      <c r="CD86" s="91">
        <f>IF(AC86="-","-",VLOOKUP($G86,CTBat!$G$10:$AN$89,CD$9,FALSE)-AC86)</f>
        <v>0</v>
      </c>
      <c r="CE86" s="91" t="str">
        <f>IF(AD86="-","-",VLOOKUP($G86,CTBat!$G$10:$AN$89,CE$9,FALSE)-AD86)</f>
        <v>-</v>
      </c>
      <c r="CF86" s="91">
        <f>IF(AE86="-","-",VLOOKUP($G86,CTBat!$G$10:$AN$89,CF$9,FALSE)-AE86)</f>
        <v>0</v>
      </c>
      <c r="CG86" s="91" t="str">
        <f>IF(AF86="-","-",VLOOKUP($G86,CTBat!$G$10:$AN$89,CG$9,FALSE)-AF86)</f>
        <v>-</v>
      </c>
      <c r="CH86" s="91" t="str">
        <f>IF(AG86="-","-",VLOOKUP($G86,CTBat!$G$10:$AN$89,CH$9,FALSE)-AG86)</f>
        <v>-</v>
      </c>
      <c r="CI86" s="91" t="str">
        <f>IF(AH86="-","-",VLOOKUP($G86,CTBat!$G$10:$AN$89,CI$9,FALSE)-AH86)</f>
        <v>-</v>
      </c>
      <c r="CJ86" s="91" t="str">
        <f>IF(AI86="-","-",VLOOKUP($G86,CTBat!$G$10:$AN$89,CJ$9,FALSE)-AI86)</f>
        <v>-</v>
      </c>
      <c r="CK86" s="91" t="str">
        <f>IF(AJ86="-","-",VLOOKUP($G86,CTBat!$G$10:$AN$89,CK$9,FALSE)-AJ86)</f>
        <v>-</v>
      </c>
      <c r="CL86" s="91" t="str">
        <f>IF(AK86="-","-",VLOOKUP($G86,CTBat!$G$10:$AN$89,CL$9,FALSE)-AK86)</f>
        <v>-</v>
      </c>
      <c r="CM86" s="91">
        <f>IF(AL86="-","-",VLOOKUP($G86,CTBat!$G$10:$AN$89,CM$9,FALSE)-AL86)</f>
        <v>0</v>
      </c>
      <c r="CN86" s="91">
        <f>IF(AM86="-","-",VLOOKUP($G86,CTBat!$G$10:$AN$89,CN$9,FALSE)-AM86)</f>
        <v>0</v>
      </c>
      <c r="CO86" s="91">
        <f>IF(AN86="-","-",VLOOKUP($G86,CTBat!$G$10:$AN$89,CO$9,FALSE)-AN86)</f>
        <v>0</v>
      </c>
      <c r="CP86" s="91">
        <f t="shared" si="113"/>
        <v>-1</v>
      </c>
      <c r="CQ86" s="91">
        <f t="shared" si="114"/>
        <v>-1</v>
      </c>
      <c r="CR86" s="91">
        <f t="shared" si="115"/>
        <v>0</v>
      </c>
      <c r="CS86" s="91">
        <f t="shared" si="116"/>
        <v>0</v>
      </c>
      <c r="CT86" s="91">
        <f t="shared" si="117"/>
        <v>-2</v>
      </c>
    </row>
    <row r="87" spans="3:98">
      <c r="C87" s="106" t="str">
        <f t="shared" si="83"/>
        <v>-</v>
      </c>
      <c r="D87" s="106" t="str">
        <f t="shared" si="84"/>
        <v>-</v>
      </c>
      <c r="E87" s="106" t="str">
        <f t="shared" si="85"/>
        <v>K</v>
      </c>
      <c r="F87" t="s">
        <v>95</v>
      </c>
      <c r="G87" t="s">
        <v>418</v>
      </c>
      <c r="H87" t="s">
        <v>383</v>
      </c>
      <c r="I87" t="s">
        <v>327</v>
      </c>
      <c r="J87">
        <v>19</v>
      </c>
      <c r="K87" t="s">
        <v>107</v>
      </c>
      <c r="L87" t="s">
        <v>107</v>
      </c>
      <c r="M87" t="s">
        <v>47</v>
      </c>
      <c r="N87" s="3" t="s">
        <v>47</v>
      </c>
      <c r="O87" t="s">
        <v>232</v>
      </c>
      <c r="P87" s="3" t="s">
        <v>230</v>
      </c>
      <c r="Q87">
        <v>2</v>
      </c>
      <c r="R87">
        <v>4</v>
      </c>
      <c r="S87">
        <v>2</v>
      </c>
      <c r="T87">
        <v>2</v>
      </c>
      <c r="U87" s="3">
        <v>1</v>
      </c>
      <c r="V87">
        <v>2</v>
      </c>
      <c r="W87">
        <v>4</v>
      </c>
      <c r="X87">
        <v>3</v>
      </c>
      <c r="Y87">
        <v>2</v>
      </c>
      <c r="Z87" s="3">
        <v>4</v>
      </c>
      <c r="AA87">
        <v>5</v>
      </c>
      <c r="AB87">
        <v>5</v>
      </c>
      <c r="AC87">
        <v>7</v>
      </c>
      <c r="AD87">
        <v>3</v>
      </c>
      <c r="AE87" t="s">
        <v>41</v>
      </c>
      <c r="AF87" t="s">
        <v>41</v>
      </c>
      <c r="AG87" t="s">
        <v>41</v>
      </c>
      <c r="AH87" t="s">
        <v>41</v>
      </c>
      <c r="AI87" t="s">
        <v>41</v>
      </c>
      <c r="AJ87" t="s">
        <v>41</v>
      </c>
      <c r="AK87" s="3" t="s">
        <v>41</v>
      </c>
      <c r="AL87">
        <v>2</v>
      </c>
      <c r="AM87">
        <v>1</v>
      </c>
      <c r="AN87" s="3">
        <v>1</v>
      </c>
      <c r="AO87" s="85" t="s">
        <v>41</v>
      </c>
      <c r="AP87" s="3">
        <v>0</v>
      </c>
      <c r="AQ87" s="6">
        <f t="shared" si="86"/>
        <v>0</v>
      </c>
      <c r="AR87" s="9" t="str">
        <f t="shared" si="87"/>
        <v>Minors</v>
      </c>
      <c r="AS87" s="6">
        <f t="shared" si="88"/>
        <v>0.33333333333333348</v>
      </c>
      <c r="AT87" s="6" t="str">
        <f t="shared" si="89"/>
        <v>Minors</v>
      </c>
      <c r="AU87" s="9">
        <f t="shared" si="90"/>
        <v>0.33333333333333348</v>
      </c>
      <c r="AV87" s="9" t="str">
        <f t="shared" si="91"/>
        <v>Minors</v>
      </c>
      <c r="AW87" s="53">
        <f t="shared" si="92"/>
        <v>0</v>
      </c>
      <c r="AX87" s="280">
        <f t="shared" si="93"/>
        <v>0</v>
      </c>
      <c r="AY87" s="280">
        <f t="shared" si="94"/>
        <v>0</v>
      </c>
      <c r="AZ87" s="280">
        <f t="shared" si="95"/>
        <v>0</v>
      </c>
      <c r="BA87" s="280">
        <f t="shared" si="96"/>
        <v>0</v>
      </c>
      <c r="BB87" s="280">
        <f t="shared" si="97"/>
        <v>0</v>
      </c>
      <c r="BC87" s="280">
        <f t="shared" si="98"/>
        <v>0</v>
      </c>
      <c r="BD87" s="280">
        <f t="shared" si="99"/>
        <v>0</v>
      </c>
      <c r="BE87" s="281">
        <f t="shared" si="100"/>
        <v>0</v>
      </c>
      <c r="BF87" s="53">
        <f t="shared" si="101"/>
        <v>0</v>
      </c>
      <c r="BG87" s="280">
        <f t="shared" si="102"/>
        <v>0</v>
      </c>
      <c r="BH87" s="280">
        <f t="shared" si="103"/>
        <v>0</v>
      </c>
      <c r="BI87" s="280">
        <f t="shared" si="104"/>
        <v>0</v>
      </c>
      <c r="BJ87" s="280">
        <f t="shared" si="105"/>
        <v>0</v>
      </c>
      <c r="BK87" s="280">
        <f t="shared" si="106"/>
        <v>0</v>
      </c>
      <c r="BL87" s="280">
        <f t="shared" si="107"/>
        <v>0</v>
      </c>
      <c r="BM87" s="280">
        <f t="shared" si="108"/>
        <v>0</v>
      </c>
      <c r="BN87" s="281">
        <f t="shared" si="109"/>
        <v>0</v>
      </c>
      <c r="BO87" s="281">
        <f t="shared" si="110"/>
        <v>0</v>
      </c>
      <c r="BP87" s="7">
        <f t="shared" si="111"/>
        <v>0</v>
      </c>
      <c r="BQ87" t="str">
        <f t="shared" si="112"/>
        <v/>
      </c>
      <c r="BR87" s="91">
        <f>IF(Q87="-","-",VLOOKUP($G87,CTBat!$G$10:$AN$89,BR$9,FALSE)-Q87)</f>
        <v>0</v>
      </c>
      <c r="BS87" s="91">
        <f>IF(R87="-","-",VLOOKUP($G87,CTBat!$G$10:$AN$89,BS$9,FALSE)-R87)</f>
        <v>-1</v>
      </c>
      <c r="BT87" s="91">
        <f>IF(S87="-","-",VLOOKUP($G87,CTBat!$G$10:$AN$89,BT$9,FALSE)-S87)</f>
        <v>0</v>
      </c>
      <c r="BU87" s="91">
        <f>IF(T87="-","-",VLOOKUP($G87,CTBat!$G$10:$AN$89,BU$9,FALSE)-T87)</f>
        <v>0</v>
      </c>
      <c r="BV87" s="91">
        <f>IF(U87="-","-",VLOOKUP($G87,CTBat!$G$10:$AN$89,BV$9,FALSE)-U87)</f>
        <v>0</v>
      </c>
      <c r="BW87" s="91">
        <f>IF(V87="-","-",VLOOKUP($G87,CTBat!$G$10:$AN$89,BW$9,FALSE)-V87)</f>
        <v>0</v>
      </c>
      <c r="BX87" s="91">
        <f>IF(W87="-","-",VLOOKUP($G87,CTBat!$G$10:$AN$89,BX$9,FALSE)-W87)</f>
        <v>-1</v>
      </c>
      <c r="BY87" s="91">
        <f>IF(X87="-","-",VLOOKUP($G87,CTBat!$G$10:$AN$89,BY$9,FALSE)-X87)</f>
        <v>0</v>
      </c>
      <c r="BZ87" s="91">
        <f>IF(Y87="-","-",VLOOKUP($G87,CTBat!$G$10:$AN$89,BZ$9,FALSE)-Y87)</f>
        <v>0</v>
      </c>
      <c r="CA87" s="91">
        <f>IF(Z87="-","-",VLOOKUP($G87,CTBat!$G$10:$AN$89,CA$9,FALSE)-Z87)</f>
        <v>0</v>
      </c>
      <c r="CB87" s="91">
        <f>IF(AA87="-","-",VLOOKUP($G87,CTBat!$G$10:$AN$89,CB$9,FALSE)-AA87)</f>
        <v>0</v>
      </c>
      <c r="CC87" s="91">
        <f>IF(AB87="-","-",VLOOKUP($G87,CTBat!$G$10:$AN$89,CC$9,FALSE)-AB87)</f>
        <v>0</v>
      </c>
      <c r="CD87" s="91">
        <f>IF(AC87="-","-",VLOOKUP($G87,CTBat!$G$10:$AN$89,CD$9,FALSE)-AC87)</f>
        <v>0</v>
      </c>
      <c r="CE87" s="91">
        <f>IF(AD87="-","-",VLOOKUP($G87,CTBat!$G$10:$AN$89,CE$9,FALSE)-AD87)</f>
        <v>0</v>
      </c>
      <c r="CF87" s="91" t="str">
        <f>IF(AE87="-","-",VLOOKUP($G87,CTBat!$G$10:$AN$89,CF$9,FALSE)-AE87)</f>
        <v>-</v>
      </c>
      <c r="CG87" s="91" t="str">
        <f>IF(AF87="-","-",VLOOKUP($G87,CTBat!$G$10:$AN$89,CG$9,FALSE)-AF87)</f>
        <v>-</v>
      </c>
      <c r="CH87" s="91" t="str">
        <f>IF(AG87="-","-",VLOOKUP($G87,CTBat!$G$10:$AN$89,CH$9,FALSE)-AG87)</f>
        <v>-</v>
      </c>
      <c r="CI87" s="91" t="str">
        <f>IF(AH87="-","-",VLOOKUP($G87,CTBat!$G$10:$AN$89,CI$9,FALSE)-AH87)</f>
        <v>-</v>
      </c>
      <c r="CJ87" s="91" t="str">
        <f>IF(AI87="-","-",VLOOKUP($G87,CTBat!$G$10:$AN$89,CJ$9,FALSE)-AI87)</f>
        <v>-</v>
      </c>
      <c r="CK87" s="91" t="str">
        <f>IF(AJ87="-","-",VLOOKUP($G87,CTBat!$G$10:$AN$89,CK$9,FALSE)-AJ87)</f>
        <v>-</v>
      </c>
      <c r="CL87" s="91" t="str">
        <f>IF(AK87="-","-",VLOOKUP($G87,CTBat!$G$10:$AN$89,CL$9,FALSE)-AK87)</f>
        <v>-</v>
      </c>
      <c r="CM87" s="91">
        <f>IF(AL87="-","-",VLOOKUP($G87,CTBat!$G$10:$AN$89,CM$9,FALSE)-AL87)</f>
        <v>0</v>
      </c>
      <c r="CN87" s="91">
        <f>IF(AM87="-","-",VLOOKUP($G87,CTBat!$G$10:$AN$89,CN$9,FALSE)-AM87)</f>
        <v>0</v>
      </c>
      <c r="CO87" s="91">
        <f>IF(AN87="-","-",VLOOKUP($G87,CTBat!$G$10:$AN$89,CO$9,FALSE)-AN87)</f>
        <v>0</v>
      </c>
      <c r="CP87" s="91">
        <f t="shared" si="113"/>
        <v>-1</v>
      </c>
      <c r="CQ87" s="91">
        <f t="shared" si="114"/>
        <v>-1</v>
      </c>
      <c r="CR87" s="91">
        <f t="shared" si="115"/>
        <v>0</v>
      </c>
      <c r="CS87" s="91">
        <f t="shared" si="116"/>
        <v>0</v>
      </c>
      <c r="CT87" s="91">
        <f t="shared" si="117"/>
        <v>-2</v>
      </c>
    </row>
    <row r="88" spans="3:98">
      <c r="C88">
        <f t="shared" si="83"/>
        <v>2</v>
      </c>
      <c r="D88">
        <f t="shared" si="84"/>
        <v>2</v>
      </c>
      <c r="E88" t="str">
        <f t="shared" si="85"/>
        <v>K</v>
      </c>
      <c r="F88" t="s">
        <v>100</v>
      </c>
      <c r="G88" t="s">
        <v>572</v>
      </c>
      <c r="H88" t="s">
        <v>384</v>
      </c>
      <c r="I88" t="s">
        <v>213</v>
      </c>
      <c r="J88">
        <v>32</v>
      </c>
      <c r="K88" t="s">
        <v>107</v>
      </c>
      <c r="L88" t="s">
        <v>107</v>
      </c>
      <c r="M88" t="s">
        <v>47</v>
      </c>
      <c r="N88" s="3" t="s">
        <v>47</v>
      </c>
      <c r="O88" t="s">
        <v>230</v>
      </c>
      <c r="P88" s="3" t="s">
        <v>229</v>
      </c>
      <c r="Q88">
        <v>8</v>
      </c>
      <c r="R88">
        <v>7</v>
      </c>
      <c r="S88">
        <v>2</v>
      </c>
      <c r="T88">
        <v>6</v>
      </c>
      <c r="U88" s="3">
        <v>7</v>
      </c>
      <c r="V88">
        <v>8</v>
      </c>
      <c r="W88">
        <v>7</v>
      </c>
      <c r="X88">
        <v>2</v>
      </c>
      <c r="Y88">
        <v>6</v>
      </c>
      <c r="Z88" s="3">
        <v>7</v>
      </c>
      <c r="AA88">
        <v>7</v>
      </c>
      <c r="AB88">
        <v>1</v>
      </c>
      <c r="AC88">
        <v>1</v>
      </c>
      <c r="AD88" t="s">
        <v>41</v>
      </c>
      <c r="AE88" t="s">
        <v>41</v>
      </c>
      <c r="AF88">
        <v>1</v>
      </c>
      <c r="AG88">
        <v>6</v>
      </c>
      <c r="AH88">
        <v>4</v>
      </c>
      <c r="AI88" t="s">
        <v>41</v>
      </c>
      <c r="AJ88" t="s">
        <v>41</v>
      </c>
      <c r="AK88" s="3" t="s">
        <v>41</v>
      </c>
      <c r="AL88">
        <v>3</v>
      </c>
      <c r="AM88">
        <v>1</v>
      </c>
      <c r="AN88" s="3">
        <v>1</v>
      </c>
      <c r="AO88" t="s">
        <v>41</v>
      </c>
      <c r="AP88" s="3">
        <v>0</v>
      </c>
      <c r="AQ88" s="6">
        <f t="shared" si="86"/>
        <v>5.833333333333333</v>
      </c>
      <c r="AR88" s="9" t="str">
        <f t="shared" si="87"/>
        <v>Reg</v>
      </c>
      <c r="AS88" s="6">
        <f t="shared" si="88"/>
        <v>5.833333333333333</v>
      </c>
      <c r="AT88" s="6" t="str">
        <f t="shared" si="89"/>
        <v>Reg</v>
      </c>
      <c r="AU88" s="9">
        <f t="shared" si="90"/>
        <v>5.833333333333333</v>
      </c>
      <c r="AV88" s="9" t="str">
        <f t="shared" si="91"/>
        <v>Reg</v>
      </c>
      <c r="AW88" s="53">
        <f t="shared" si="92"/>
        <v>0</v>
      </c>
      <c r="AX88" s="280">
        <f t="shared" si="93"/>
        <v>1</v>
      </c>
      <c r="AY88" s="280">
        <f t="shared" si="94"/>
        <v>0</v>
      </c>
      <c r="AZ88" s="280">
        <f t="shared" si="95"/>
        <v>0</v>
      </c>
      <c r="BA88" s="280">
        <f t="shared" si="96"/>
        <v>0</v>
      </c>
      <c r="BB88" s="280">
        <f t="shared" si="97"/>
        <v>1</v>
      </c>
      <c r="BC88" s="280">
        <f t="shared" si="98"/>
        <v>1</v>
      </c>
      <c r="BD88" s="280">
        <f t="shared" si="99"/>
        <v>1</v>
      </c>
      <c r="BE88" s="281">
        <f t="shared" si="100"/>
        <v>1</v>
      </c>
      <c r="BF88" s="53">
        <f t="shared" si="101"/>
        <v>0</v>
      </c>
      <c r="BG88" s="280">
        <f t="shared" si="102"/>
        <v>1</v>
      </c>
      <c r="BH88" s="280">
        <f t="shared" si="103"/>
        <v>0</v>
      </c>
      <c r="BI88" s="280">
        <f t="shared" si="104"/>
        <v>0</v>
      </c>
      <c r="BJ88" s="280">
        <f t="shared" si="105"/>
        <v>0</v>
      </c>
      <c r="BK88" s="280">
        <f t="shared" si="106"/>
        <v>1</v>
      </c>
      <c r="BL88" s="280">
        <f t="shared" si="107"/>
        <v>1</v>
      </c>
      <c r="BM88" s="280">
        <f t="shared" si="108"/>
        <v>1</v>
      </c>
      <c r="BN88" s="281">
        <f t="shared" si="109"/>
        <v>1</v>
      </c>
      <c r="BO88" s="281">
        <f t="shared" si="110"/>
        <v>0</v>
      </c>
      <c r="BP88" s="7">
        <f t="shared" si="111"/>
        <v>1</v>
      </c>
      <c r="BQ88" t="str">
        <f t="shared" si="112"/>
        <v/>
      </c>
      <c r="BR88" s="91">
        <f>IF(Q88="-","-",VLOOKUP($G88,CTBat!$G$10:$AN$89,BR$9,FALSE)-Q88)</f>
        <v>0</v>
      </c>
      <c r="BS88" s="91">
        <f>IF(R88="-","-",VLOOKUP($G88,CTBat!$G$10:$AN$89,BS$9,FALSE)-R88)</f>
        <v>-1</v>
      </c>
      <c r="BT88" s="91">
        <f>IF(S88="-","-",VLOOKUP($G88,CTBat!$G$10:$AN$89,BT$9,FALSE)-S88)</f>
        <v>0</v>
      </c>
      <c r="BU88" s="91">
        <f>IF(T88="-","-",VLOOKUP($G88,CTBat!$G$10:$AN$89,BU$9,FALSE)-T88)</f>
        <v>-1</v>
      </c>
      <c r="BV88" s="91">
        <f>IF(U88="-","-",VLOOKUP($G88,CTBat!$G$10:$AN$89,BV$9,FALSE)-U88)</f>
        <v>0</v>
      </c>
      <c r="BW88" s="91">
        <f>IF(V88="-","-",VLOOKUP($G88,CTBat!$G$10:$AN$89,BW$9,FALSE)-V88)</f>
        <v>0</v>
      </c>
      <c r="BX88" s="91">
        <f>IF(W88="-","-",VLOOKUP($G88,CTBat!$G$10:$AN$89,BX$9,FALSE)-W88)</f>
        <v>-1</v>
      </c>
      <c r="BY88" s="91">
        <f>IF(X88="-","-",VLOOKUP($G88,CTBat!$G$10:$AN$89,BY$9,FALSE)-X88)</f>
        <v>0</v>
      </c>
      <c r="BZ88" s="91">
        <f>IF(Y88="-","-",VLOOKUP($G88,CTBat!$G$10:$AN$89,BZ$9,FALSE)-Y88)</f>
        <v>0</v>
      </c>
      <c r="CA88" s="91">
        <f>IF(Z88="-","-",VLOOKUP($G88,CTBat!$G$10:$AN$89,CA$9,FALSE)-Z88)</f>
        <v>0</v>
      </c>
      <c r="CB88" s="91">
        <f>IF(AA88="-","-",VLOOKUP($G88,CTBat!$G$10:$AN$89,CB$9,FALSE)-AA88)</f>
        <v>0</v>
      </c>
      <c r="CC88" s="91">
        <f>IF(AB88="-","-",VLOOKUP($G88,CTBat!$G$10:$AN$89,CC$9,FALSE)-AB88)</f>
        <v>0</v>
      </c>
      <c r="CD88" s="91">
        <f>IF(AC88="-","-",VLOOKUP($G88,CTBat!$G$10:$AN$89,CD$9,FALSE)-AC88)</f>
        <v>0</v>
      </c>
      <c r="CE88" s="91" t="str">
        <f>IF(AD88="-","-",VLOOKUP($G88,CTBat!$G$10:$AN$89,CE$9,FALSE)-AD88)</f>
        <v>-</v>
      </c>
      <c r="CF88" s="91" t="str">
        <f>IF(AE88="-","-",VLOOKUP($G88,CTBat!$G$10:$AN$89,CF$9,FALSE)-AE88)</f>
        <v>-</v>
      </c>
      <c r="CG88" s="91">
        <f>IF(AF88="-","-",VLOOKUP($G88,CTBat!$G$10:$AN$89,CG$9,FALSE)-AF88)</f>
        <v>0</v>
      </c>
      <c r="CH88" s="91">
        <f>IF(AG88="-","-",VLOOKUP($G88,CTBat!$G$10:$AN$89,CH$9,FALSE)-AG88)</f>
        <v>0</v>
      </c>
      <c r="CI88" s="91">
        <f>IF(AH88="-","-",VLOOKUP($G88,CTBat!$G$10:$AN$89,CI$9,FALSE)-AH88)</f>
        <v>0</v>
      </c>
      <c r="CJ88" s="91" t="str">
        <f>IF(AI88="-","-",VLOOKUP($G88,CTBat!$G$10:$AN$89,CJ$9,FALSE)-AI88)</f>
        <v>-</v>
      </c>
      <c r="CK88" s="91" t="str">
        <f>IF(AJ88="-","-",VLOOKUP($G88,CTBat!$G$10:$AN$89,CK$9,FALSE)-AJ88)</f>
        <v>-</v>
      </c>
      <c r="CL88" s="91" t="str">
        <f>IF(AK88="-","-",VLOOKUP($G88,CTBat!$G$10:$AN$89,CL$9,FALSE)-AK88)</f>
        <v>-</v>
      </c>
      <c r="CM88" s="91">
        <f>IF(AL88="-","-",VLOOKUP($G88,CTBat!$G$10:$AN$89,CM$9,FALSE)-AL88)</f>
        <v>0</v>
      </c>
      <c r="CN88" s="91">
        <f>IF(AM88="-","-",VLOOKUP($G88,CTBat!$G$10:$AN$89,CN$9,FALSE)-AM88)</f>
        <v>0</v>
      </c>
      <c r="CO88" s="91">
        <f>IF(AN88="-","-",VLOOKUP($G88,CTBat!$G$10:$AN$89,CO$9,FALSE)-AN88)</f>
        <v>0</v>
      </c>
      <c r="CP88" s="91">
        <f t="shared" si="113"/>
        <v>-2</v>
      </c>
      <c r="CQ88" s="91">
        <f t="shared" si="114"/>
        <v>-1</v>
      </c>
      <c r="CR88" s="91">
        <f t="shared" si="115"/>
        <v>0</v>
      </c>
      <c r="CS88" s="91">
        <f t="shared" si="116"/>
        <v>0</v>
      </c>
      <c r="CT88" s="91">
        <f t="shared" si="117"/>
        <v>-3</v>
      </c>
    </row>
  </sheetData>
  <sortState ref="A11:CT88">
    <sortCondition descending="1" ref="CT11:CT88"/>
    <sortCondition descending="1" ref="AS11:AS88"/>
  </sortState>
  <conditionalFormatting sqref="M11:N70">
    <cfRule type="expression" dxfId="120" priority="2">
      <formula>IF(M11&lt;&gt;"1 star",1,0)</formula>
    </cfRule>
  </conditionalFormatting>
  <conditionalFormatting sqref="M71:N84">
    <cfRule type="expression" dxfId="119" priority="1">
      <formula>IF(M71&lt;&gt;"1 star",1,0)</formula>
    </cfRule>
  </conditionalFormatting>
  <pageMargins left="0.75" right="0.75" top="1" bottom="1" header="0.5" footer="0.5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published="0" codeName="Sheet12">
    <tabColor theme="9"/>
  </sheetPr>
  <dimension ref="A1:CK84"/>
  <sheetViews>
    <sheetView zoomScale="85" zoomScaleNormal="85" workbookViewId="0">
      <pane xSplit="10" ySplit="10" topLeftCell="AW11" activePane="bottomRight" state="frozenSplit"/>
      <selection pane="topRight" activeCell="H1" sqref="H1"/>
      <selection pane="bottomLeft" activeCell="A2" sqref="A2"/>
      <selection pane="bottomRight" activeCell="C11" sqref="C11"/>
    </sheetView>
  </sheetViews>
  <sheetFormatPr defaultColWidth="11.42578125" defaultRowHeight="15"/>
  <cols>
    <col min="1" max="1" width="5" bestFit="1" customWidth="1"/>
    <col min="2" max="2" width="6.5703125" bestFit="1" customWidth="1"/>
    <col min="3" max="3" width="3.85546875" bestFit="1" customWidth="1"/>
    <col min="4" max="4" width="4.7109375" bestFit="1" customWidth="1"/>
    <col min="5" max="5" width="19.5703125" bestFit="1" customWidth="1"/>
    <col min="6" max="6" width="5" bestFit="1" customWidth="1"/>
    <col min="7" max="7" width="4.85546875" bestFit="1" customWidth="1"/>
    <col min="8" max="8" width="4.42578125" style="3" bestFit="1" customWidth="1"/>
    <col min="9" max="10" width="2.28515625" bestFit="1" customWidth="1"/>
    <col min="11" max="11" width="7.140625" bestFit="1" customWidth="1"/>
    <col min="12" max="12" width="7.140625" style="3" bestFit="1" customWidth="1"/>
    <col min="13" max="14" width="9.7109375" bestFit="1" customWidth="1"/>
    <col min="15" max="15" width="4.5703125" style="3" bestFit="1" customWidth="1"/>
    <col min="16" max="16" width="5.5703125" bestFit="1" customWidth="1"/>
    <col min="17" max="17" width="5" bestFit="1" customWidth="1"/>
    <col min="18" max="18" width="6" style="3" bestFit="1" customWidth="1"/>
    <col min="19" max="19" width="7.140625" bestFit="1" customWidth="1"/>
    <col min="20" max="20" width="6.5703125" bestFit="1" customWidth="1"/>
    <col min="21" max="21" width="3.28515625" bestFit="1" customWidth="1"/>
    <col min="22" max="22" width="4.28515625" bestFit="1" customWidth="1"/>
    <col min="23" max="23" width="3.5703125" bestFit="1" customWidth="1"/>
    <col min="24" max="24" width="4.5703125" bestFit="1" customWidth="1"/>
    <col min="25" max="25" width="3.28515625" bestFit="1" customWidth="1"/>
    <col min="26" max="26" width="4.42578125" bestFit="1" customWidth="1"/>
    <col min="27" max="27" width="3" bestFit="1" customWidth="1"/>
    <col min="28" max="28" width="4" bestFit="1" customWidth="1"/>
    <col min="29" max="29" width="2.7109375" bestFit="1" customWidth="1"/>
    <col min="30" max="30" width="3.7109375" bestFit="1" customWidth="1"/>
    <col min="31" max="31" width="3.140625" bestFit="1" customWidth="1"/>
    <col min="32" max="32" width="4.28515625" bestFit="1" customWidth="1"/>
    <col min="33" max="33" width="3.140625" bestFit="1" customWidth="1"/>
    <col min="34" max="34" width="4.28515625" bestFit="1" customWidth="1"/>
    <col min="35" max="35" width="3.5703125" bestFit="1" customWidth="1"/>
    <col min="36" max="36" width="4.5703125" bestFit="1" customWidth="1"/>
    <col min="37" max="37" width="3.28515625" bestFit="1" customWidth="1"/>
    <col min="38" max="38" width="4.42578125" bestFit="1" customWidth="1"/>
    <col min="39" max="39" width="3.140625" bestFit="1" customWidth="1"/>
    <col min="40" max="40" width="4.28515625" bestFit="1" customWidth="1"/>
    <col min="41" max="41" width="3.28515625" bestFit="1" customWidth="1"/>
    <col min="42" max="42" width="4.42578125" style="3" bestFit="1" customWidth="1"/>
    <col min="43" max="43" width="3.7109375" bestFit="1" customWidth="1"/>
    <col min="44" max="44" width="4.7109375" bestFit="1" customWidth="1"/>
    <col min="45" max="45" width="10.42578125" style="3" bestFit="1" customWidth="1"/>
    <col min="46" max="46" width="5.7109375" bestFit="1" customWidth="1"/>
    <col min="47" max="47" width="5.140625" style="3" bestFit="1" customWidth="1"/>
    <col min="48" max="48" width="12.5703125" bestFit="1" customWidth="1"/>
    <col min="49" max="49" width="9.5703125" style="5" bestFit="1" customWidth="1"/>
    <col min="50" max="50" width="9.140625" style="5" bestFit="1" customWidth="1"/>
    <col min="51" max="51" width="9" style="5" bestFit="1" customWidth="1"/>
    <col min="52" max="52" width="11.5703125" bestFit="1" customWidth="1"/>
    <col min="53" max="53" width="11.42578125" style="5"/>
    <col min="54" max="54" width="7.42578125" style="5" bestFit="1" customWidth="1"/>
    <col min="55" max="55" width="3.7109375" style="5" bestFit="1" customWidth="1"/>
    <col min="57" max="58" width="4.5703125" bestFit="1" customWidth="1"/>
    <col min="59" max="59" width="5.5703125" bestFit="1" customWidth="1"/>
    <col min="60" max="60" width="5" bestFit="1" customWidth="1"/>
    <col min="61" max="61" width="6" bestFit="1" customWidth="1"/>
    <col min="62" max="62" width="7.140625" bestFit="1" customWidth="1"/>
    <col min="63" max="64" width="6.5703125" bestFit="1" customWidth="1"/>
    <col min="65" max="65" width="4.28515625" bestFit="1" customWidth="1"/>
    <col min="66" max="66" width="3.5703125" bestFit="1" customWidth="1"/>
    <col min="67" max="67" width="4.5703125" bestFit="1" customWidth="1"/>
    <col min="68" max="68" width="3.28515625" bestFit="1" customWidth="1"/>
    <col min="69" max="69" width="4.42578125" bestFit="1" customWidth="1"/>
    <col min="70" max="70" width="3.140625" bestFit="1" customWidth="1"/>
    <col min="71" max="71" width="4" bestFit="1" customWidth="1"/>
    <col min="72" max="72" width="3.140625" bestFit="1" customWidth="1"/>
    <col min="73" max="73" width="3.7109375" bestFit="1" customWidth="1"/>
    <col min="74" max="74" width="3.140625" bestFit="1" customWidth="1"/>
    <col min="75" max="75" width="4.28515625" bestFit="1" customWidth="1"/>
    <col min="76" max="76" width="3.140625" bestFit="1" customWidth="1"/>
    <col min="77" max="77" width="4.28515625" bestFit="1" customWidth="1"/>
    <col min="78" max="78" width="3.5703125" bestFit="1" customWidth="1"/>
    <col min="79" max="79" width="4.5703125" bestFit="1" customWidth="1"/>
    <col min="80" max="80" width="3.28515625" bestFit="1" customWidth="1"/>
    <col min="81" max="81" width="4.42578125" bestFit="1" customWidth="1"/>
    <col min="82" max="82" width="3.140625" bestFit="1" customWidth="1"/>
    <col min="83" max="83" width="4.28515625" bestFit="1" customWidth="1"/>
    <col min="84" max="84" width="3.28515625" bestFit="1" customWidth="1"/>
    <col min="85" max="85" width="4.42578125" bestFit="1" customWidth="1"/>
    <col min="86" max="86" width="3.7109375" bestFit="1" customWidth="1"/>
    <col min="87" max="87" width="4.7109375" bestFit="1" customWidth="1"/>
    <col min="88" max="88" width="3.85546875" bestFit="1" customWidth="1"/>
  </cols>
  <sheetData>
    <row r="1" spans="1:89" s="91" customFormat="1">
      <c r="A1"/>
      <c r="B1" t="s">
        <v>149</v>
      </c>
      <c r="C1" t="s">
        <v>104</v>
      </c>
      <c r="D1"/>
      <c r="E1" t="s">
        <v>223</v>
      </c>
      <c r="F1" t="s">
        <v>222</v>
      </c>
      <c r="G1" t="s">
        <v>224</v>
      </c>
      <c r="H1"/>
      <c r="I1"/>
      <c r="J1"/>
      <c r="K1"/>
      <c r="L1" s="3"/>
      <c r="M1"/>
      <c r="N1" s="3"/>
      <c r="O1"/>
      <c r="P1"/>
      <c r="Q1"/>
      <c r="R1"/>
      <c r="S1" s="3"/>
      <c r="T1"/>
      <c r="U1"/>
      <c r="V1"/>
      <c r="W1"/>
      <c r="X1" s="3"/>
      <c r="Y1"/>
      <c r="Z1"/>
      <c r="AA1"/>
      <c r="AB1"/>
      <c r="AC1"/>
      <c r="AD1"/>
      <c r="AE1"/>
      <c r="AF1"/>
      <c r="AG1"/>
      <c r="AH1"/>
      <c r="AI1" s="3"/>
      <c r="AJ1"/>
      <c r="AK1"/>
      <c r="AL1" s="3"/>
      <c r="AM1"/>
      <c r="AN1" s="3"/>
      <c r="AO1"/>
      <c r="AP1" s="5"/>
      <c r="AQ1"/>
      <c r="AR1"/>
      <c r="AS1"/>
      <c r="AT1"/>
      <c r="AU1" s="53"/>
      <c r="AV1" s="5"/>
      <c r="AW1" s="5"/>
      <c r="AX1" s="5"/>
      <c r="AY1" s="5"/>
      <c r="AZ1" s="5"/>
      <c r="BA1" s="5"/>
      <c r="BB1" s="5"/>
      <c r="BC1" s="3"/>
      <c r="BD1" s="53"/>
      <c r="BE1" s="5"/>
      <c r="BF1" s="5"/>
      <c r="BG1" s="5"/>
      <c r="BH1" s="5"/>
      <c r="BI1" s="5"/>
      <c r="BJ1" s="5"/>
      <c r="BK1" s="5"/>
      <c r="BL1" s="3"/>
      <c r="BM1"/>
      <c r="BN1"/>
      <c r="BO1"/>
    </row>
    <row r="2" spans="1:89">
      <c r="A2" t="s">
        <v>212</v>
      </c>
      <c r="B2">
        <f>COUNTIF($A$11:$A$196,"=ML")</f>
        <v>0</v>
      </c>
      <c r="C2" s="91">
        <f>VLOOKUP($A2,CTBat!$A$2:$B$8,2,FALSE)</f>
        <v>13</v>
      </c>
      <c r="D2">
        <v>25</v>
      </c>
      <c r="E2" s="107">
        <f>B2/$D2</f>
        <v>0</v>
      </c>
      <c r="F2" s="98">
        <f>C2/$D2</f>
        <v>0.52</v>
      </c>
      <c r="G2" s="107">
        <f>(B2+C2)/$D2</f>
        <v>0.52</v>
      </c>
      <c r="H2"/>
      <c r="N2" s="3"/>
      <c r="O2"/>
      <c r="R2"/>
      <c r="S2" s="3"/>
      <c r="X2" s="3"/>
      <c r="AI2" s="3"/>
      <c r="AL2" s="3"/>
      <c r="AN2" s="3"/>
      <c r="AP2" s="5"/>
      <c r="AS2"/>
      <c r="AU2" s="53"/>
      <c r="AV2" s="5"/>
      <c r="AZ2" s="5"/>
      <c r="BC2" s="3"/>
      <c r="BD2" s="53"/>
      <c r="BE2" s="5"/>
      <c r="BF2" s="5"/>
      <c r="BG2" s="5"/>
      <c r="BH2" s="5"/>
      <c r="BI2" s="5"/>
      <c r="BJ2" s="5"/>
      <c r="BK2" s="5"/>
      <c r="BL2" s="3"/>
    </row>
    <row r="3" spans="1:89">
      <c r="A3" t="s">
        <v>213</v>
      </c>
      <c r="B3">
        <f>COUNTIF($A$11:$A$196,"=AAA")</f>
        <v>0</v>
      </c>
      <c r="C3" s="91">
        <f>VLOOKUP($A3,CTBat!$A$2:$B$8,2,FALSE)</f>
        <v>14</v>
      </c>
      <c r="D3">
        <v>25</v>
      </c>
      <c r="E3" s="107">
        <f t="shared" ref="E3:F6" si="0">B3/$D3</f>
        <v>0</v>
      </c>
      <c r="F3" s="98">
        <f t="shared" si="0"/>
        <v>0.56000000000000005</v>
      </c>
      <c r="G3" s="107">
        <f t="shared" ref="G3:G6" si="1">(B3+C3)/$D3</f>
        <v>0.56000000000000005</v>
      </c>
      <c r="H3"/>
      <c r="N3" s="3"/>
      <c r="O3"/>
      <c r="R3"/>
      <c r="S3" s="3"/>
      <c r="X3" s="3"/>
      <c r="AI3" s="3"/>
      <c r="AL3" s="3"/>
      <c r="AN3" s="3"/>
      <c r="AP3" s="5"/>
      <c r="AS3"/>
      <c r="AU3" s="53"/>
      <c r="AV3" s="5"/>
      <c r="AZ3" s="5"/>
      <c r="BC3" s="3"/>
      <c r="BD3" s="53"/>
      <c r="BE3" s="5"/>
      <c r="BF3" s="5"/>
      <c r="BG3" s="5"/>
      <c r="BH3" s="5"/>
      <c r="BI3" s="5"/>
      <c r="BJ3" s="5"/>
      <c r="BK3" s="5"/>
      <c r="BL3" s="3"/>
    </row>
    <row r="4" spans="1:89">
      <c r="A4" t="s">
        <v>214</v>
      </c>
      <c r="B4">
        <f>COUNTIF($A$11:$A$196,"=AA")</f>
        <v>0</v>
      </c>
      <c r="C4" s="91">
        <f>VLOOKUP($A4,CTBat!$A$2:$B$8,2,FALSE)</f>
        <v>16</v>
      </c>
      <c r="D4">
        <v>25</v>
      </c>
      <c r="E4" s="107">
        <f t="shared" si="0"/>
        <v>0</v>
      </c>
      <c r="F4" s="98">
        <f t="shared" si="0"/>
        <v>0.64</v>
      </c>
      <c r="G4" s="107">
        <f t="shared" si="1"/>
        <v>0.64</v>
      </c>
      <c r="H4"/>
      <c r="N4" s="3"/>
      <c r="O4"/>
      <c r="R4"/>
      <c r="S4" s="3"/>
      <c r="X4" s="3"/>
      <c r="AI4" s="3"/>
      <c r="AL4" s="3"/>
      <c r="AN4" s="3"/>
      <c r="AP4" s="5"/>
      <c r="AS4"/>
      <c r="AU4" s="53"/>
      <c r="AV4" s="5"/>
      <c r="AZ4" s="5"/>
      <c r="BC4" s="3"/>
      <c r="BD4" s="53"/>
      <c r="BE4" s="5"/>
      <c r="BF4" s="5"/>
      <c r="BG4" s="5"/>
      <c r="BH4" s="5"/>
      <c r="BI4" s="5"/>
      <c r="BJ4" s="5"/>
      <c r="BK4" s="5"/>
      <c r="BL4" s="3"/>
    </row>
    <row r="5" spans="1:89">
      <c r="A5" t="s">
        <v>215</v>
      </c>
      <c r="B5">
        <f>COUNTIF($A$11:$A$196,"=A")</f>
        <v>0</v>
      </c>
      <c r="C5" s="91">
        <f>VLOOKUP($A5,CTBat!$A$2:$B$8,2,FALSE)</f>
        <v>14</v>
      </c>
      <c r="D5">
        <v>25</v>
      </c>
      <c r="E5" s="107">
        <f t="shared" si="0"/>
        <v>0</v>
      </c>
      <c r="F5" s="98">
        <f t="shared" si="0"/>
        <v>0.56000000000000005</v>
      </c>
      <c r="G5" s="107">
        <f t="shared" si="1"/>
        <v>0.56000000000000005</v>
      </c>
      <c r="H5"/>
      <c r="N5" s="3"/>
      <c r="O5"/>
      <c r="R5"/>
      <c r="S5" s="3"/>
      <c r="X5" s="3"/>
      <c r="AI5" s="3"/>
      <c r="AL5" s="3"/>
      <c r="AN5" s="3"/>
      <c r="AP5" s="5"/>
      <c r="AS5"/>
      <c r="AU5" s="53"/>
      <c r="AV5" s="5"/>
      <c r="AZ5" s="5"/>
      <c r="BC5" s="3"/>
      <c r="BD5" s="53"/>
      <c r="BE5" s="5"/>
      <c r="BF5" s="5"/>
      <c r="BG5" s="5"/>
      <c r="BH5" s="5"/>
      <c r="BI5" s="5"/>
      <c r="BJ5" s="5"/>
      <c r="BK5" s="5"/>
      <c r="BL5" s="3"/>
    </row>
    <row r="6" spans="1:89">
      <c r="A6" t="s">
        <v>333</v>
      </c>
      <c r="B6">
        <f>COUNTIF($A$11:$A$196,"=SS-A")</f>
        <v>0</v>
      </c>
      <c r="C6" s="91" t="e">
        <f>VLOOKUP($A6,CTBat!$A$2:$B$8,2,FALSE)</f>
        <v>#N/A</v>
      </c>
      <c r="D6">
        <v>35</v>
      </c>
      <c r="E6" s="107">
        <f t="shared" si="0"/>
        <v>0</v>
      </c>
      <c r="F6" s="98" t="e">
        <f t="shared" si="0"/>
        <v>#N/A</v>
      </c>
      <c r="G6" s="107" t="e">
        <f t="shared" si="1"/>
        <v>#N/A</v>
      </c>
      <c r="H6"/>
      <c r="N6" s="3"/>
      <c r="O6"/>
      <c r="R6"/>
      <c r="S6" s="3"/>
      <c r="X6" s="3"/>
      <c r="AI6" s="3"/>
      <c r="AL6" s="3"/>
      <c r="AN6" s="3"/>
      <c r="AP6" s="5"/>
      <c r="AS6"/>
      <c r="AU6" s="53"/>
      <c r="AV6" s="5"/>
      <c r="AZ6" s="5"/>
      <c r="BC6" s="3"/>
      <c r="BD6" s="53"/>
      <c r="BE6" s="5"/>
      <c r="BF6" s="5"/>
      <c r="BG6" s="5"/>
      <c r="BH6" s="5"/>
      <c r="BI6" s="5"/>
      <c r="BJ6" s="5"/>
      <c r="BK6" s="5"/>
      <c r="BL6" s="3"/>
    </row>
    <row r="7" spans="1:89" s="91" customFormat="1">
      <c r="A7" t="s">
        <v>220</v>
      </c>
      <c r="B7">
        <f>COUNTBLANK($A$11:$A$196)-COUNTBLANK($G$11:$G$196)</f>
        <v>74</v>
      </c>
      <c r="C7" s="91">
        <f>VLOOKUP($A7,CTBat!$A$2:$B$8,2,FALSE)</f>
        <v>0</v>
      </c>
      <c r="D7" s="98"/>
      <c r="E7" s="107"/>
      <c r="F7" s="98"/>
      <c r="G7" s="107"/>
      <c r="H7"/>
      <c r="I7"/>
      <c r="J7"/>
      <c r="K7"/>
      <c r="L7" s="3"/>
      <c r="M7"/>
      <c r="N7" s="3"/>
      <c r="O7"/>
      <c r="P7"/>
      <c r="Q7"/>
      <c r="R7"/>
      <c r="S7" s="3"/>
      <c r="T7"/>
      <c r="U7"/>
      <c r="V7"/>
      <c r="W7"/>
      <c r="X7" s="3"/>
      <c r="Y7"/>
      <c r="Z7"/>
      <c r="AA7"/>
      <c r="AB7"/>
      <c r="AC7"/>
      <c r="AD7"/>
      <c r="AE7"/>
      <c r="AF7"/>
      <c r="AG7"/>
      <c r="AH7"/>
      <c r="AI7" s="3"/>
      <c r="AJ7"/>
      <c r="AK7"/>
      <c r="AL7" s="3"/>
      <c r="AM7"/>
      <c r="AN7" s="3"/>
      <c r="AO7"/>
      <c r="AP7" s="5"/>
      <c r="AQ7"/>
      <c r="AR7"/>
      <c r="AS7"/>
      <c r="AT7"/>
      <c r="AU7" s="53"/>
      <c r="AV7" s="5"/>
      <c r="AW7" s="5"/>
      <c r="AX7" s="5"/>
      <c r="AY7" s="5"/>
      <c r="AZ7" s="5"/>
      <c r="BA7" s="5"/>
      <c r="BB7" s="5"/>
      <c r="BC7" s="3"/>
      <c r="BD7" s="53"/>
      <c r="BE7" s="5"/>
      <c r="BF7" s="5"/>
      <c r="BG7" s="5"/>
      <c r="BH7" s="5"/>
      <c r="BI7" s="5"/>
      <c r="BJ7" s="5"/>
      <c r="BK7" s="5"/>
      <c r="BL7" s="3"/>
      <c r="BM7"/>
      <c r="BN7"/>
      <c r="BO7"/>
    </row>
    <row r="8" spans="1:89" s="91" customFormat="1">
      <c r="A8" t="s">
        <v>221</v>
      </c>
      <c r="B8">
        <f>SUM(B2:B7)</f>
        <v>74</v>
      </c>
      <c r="C8" t="e">
        <f>SUM(C2:C7)</f>
        <v>#N/A</v>
      </c>
      <c r="D8">
        <f>SUM(D2:D7)</f>
        <v>135</v>
      </c>
      <c r="E8" s="107">
        <f t="shared" ref="E8:F8" si="2">B8/$D8</f>
        <v>0.54814814814814816</v>
      </c>
      <c r="F8" s="98" t="e">
        <f t="shared" si="2"/>
        <v>#N/A</v>
      </c>
      <c r="G8" s="107" t="e">
        <f t="shared" ref="G8" si="3">(B8+C8)/$D8</f>
        <v>#N/A</v>
      </c>
      <c r="H8"/>
      <c r="I8"/>
      <c r="J8"/>
      <c r="K8"/>
      <c r="L8" s="3"/>
      <c r="M8"/>
      <c r="N8" s="3"/>
      <c r="O8"/>
      <c r="P8"/>
      <c r="Q8"/>
      <c r="R8"/>
      <c r="S8" s="3"/>
      <c r="T8"/>
      <c r="U8"/>
      <c r="V8"/>
      <c r="W8"/>
      <c r="X8" s="3"/>
      <c r="Y8"/>
      <c r="Z8"/>
      <c r="AA8"/>
      <c r="AB8"/>
      <c r="AC8"/>
      <c r="AD8"/>
      <c r="AE8"/>
      <c r="AF8"/>
      <c r="AG8"/>
      <c r="AH8"/>
      <c r="AI8" s="3"/>
      <c r="AJ8"/>
      <c r="AK8"/>
      <c r="AL8" s="3"/>
      <c r="AM8"/>
      <c r="AN8" s="3"/>
      <c r="AO8"/>
      <c r="AP8" s="5"/>
      <c r="AQ8"/>
      <c r="AR8"/>
      <c r="AS8"/>
      <c r="AT8"/>
      <c r="AU8" s="53"/>
      <c r="AV8" s="5"/>
      <c r="AW8" s="5"/>
      <c r="AX8" s="5"/>
      <c r="AY8" s="5"/>
      <c r="AZ8" s="5"/>
      <c r="BA8" s="5"/>
      <c r="BB8" s="5"/>
      <c r="BC8" s="3"/>
      <c r="BD8" s="53"/>
      <c r="BE8" s="5"/>
      <c r="BF8" s="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</row>
    <row r="9" spans="1:89">
      <c r="H9"/>
      <c r="L9"/>
      <c r="N9" s="3"/>
      <c r="O9"/>
      <c r="P9" s="3"/>
      <c r="R9"/>
      <c r="U9" s="3"/>
      <c r="Z9" s="3"/>
      <c r="AK9" s="3"/>
      <c r="AN9" s="3"/>
      <c r="AR9" s="5"/>
      <c r="AS9"/>
      <c r="AU9"/>
      <c r="AW9" s="53"/>
      <c r="AZ9" s="5"/>
      <c r="BD9" s="5"/>
      <c r="BE9" s="3"/>
      <c r="BF9" s="53"/>
      <c r="BG9" s="91">
        <v>11</v>
      </c>
      <c r="BH9" s="91">
        <v>12</v>
      </c>
      <c r="BI9" s="91">
        <v>13</v>
      </c>
      <c r="BJ9" s="91">
        <v>14</v>
      </c>
      <c r="BK9" s="91">
        <v>15</v>
      </c>
      <c r="BL9" s="91">
        <v>16</v>
      </c>
      <c r="BM9" s="91">
        <v>17</v>
      </c>
      <c r="BN9" s="91">
        <v>18</v>
      </c>
      <c r="BO9" s="91">
        <v>19</v>
      </c>
      <c r="BP9" s="91">
        <v>20</v>
      </c>
      <c r="BQ9" s="91">
        <v>21</v>
      </c>
      <c r="BR9" s="91">
        <v>22</v>
      </c>
      <c r="BS9" s="91">
        <v>23</v>
      </c>
      <c r="BT9" s="91">
        <v>24</v>
      </c>
      <c r="BU9" s="91">
        <v>25</v>
      </c>
      <c r="BV9" s="91">
        <v>26</v>
      </c>
      <c r="BW9" s="91">
        <v>27</v>
      </c>
      <c r="BX9" s="91">
        <v>28</v>
      </c>
      <c r="BY9" s="91">
        <v>29</v>
      </c>
      <c r="BZ9" s="91">
        <v>30</v>
      </c>
      <c r="CA9" s="91">
        <v>31</v>
      </c>
      <c r="CB9" s="91">
        <v>32</v>
      </c>
      <c r="CC9" s="91">
        <v>33</v>
      </c>
      <c r="CD9" s="91">
        <v>34</v>
      </c>
      <c r="CE9" s="91">
        <v>35</v>
      </c>
      <c r="CF9" s="91">
        <v>36</v>
      </c>
      <c r="CG9" s="91">
        <v>37</v>
      </c>
      <c r="CH9" s="91">
        <v>38</v>
      </c>
      <c r="CI9" s="91">
        <v>39</v>
      </c>
      <c r="CJ9" s="91">
        <v>40</v>
      </c>
    </row>
    <row r="10" spans="1:89" s="1" customFormat="1">
      <c r="A10" s="1" t="s">
        <v>211</v>
      </c>
      <c r="B10" s="1" t="s">
        <v>216</v>
      </c>
      <c r="C10" s="1" t="s">
        <v>117</v>
      </c>
      <c r="D10" s="1" t="s">
        <v>58</v>
      </c>
      <c r="E10" s="1" t="s">
        <v>20</v>
      </c>
      <c r="F10" s="1" t="s">
        <v>388</v>
      </c>
      <c r="G10" s="1" t="s">
        <v>324</v>
      </c>
      <c r="H10" s="1" t="s">
        <v>94</v>
      </c>
      <c r="I10" s="1" t="s">
        <v>104</v>
      </c>
      <c r="J10" s="2" t="s">
        <v>105</v>
      </c>
      <c r="K10" s="1" t="s">
        <v>21</v>
      </c>
      <c r="L10" s="1" t="s">
        <v>22</v>
      </c>
      <c r="M10" s="1" t="s">
        <v>23</v>
      </c>
      <c r="N10" s="2" t="s">
        <v>24</v>
      </c>
      <c r="O10" s="1" t="s">
        <v>59</v>
      </c>
      <c r="P10" s="1" t="s">
        <v>60</v>
      </c>
      <c r="Q10" s="2" t="s">
        <v>25</v>
      </c>
      <c r="R10" s="1" t="s">
        <v>61</v>
      </c>
      <c r="S10" s="1" t="s">
        <v>62</v>
      </c>
      <c r="T10" s="2" t="s">
        <v>30</v>
      </c>
      <c r="U10" s="1" t="s">
        <v>63</v>
      </c>
      <c r="V10" s="1" t="s">
        <v>64</v>
      </c>
      <c r="W10" s="1" t="s">
        <v>65</v>
      </c>
      <c r="X10" s="1" t="s">
        <v>66</v>
      </c>
      <c r="Y10" s="1" t="s">
        <v>67</v>
      </c>
      <c r="Z10" s="1" t="s">
        <v>68</v>
      </c>
      <c r="AA10" s="1" t="s">
        <v>69</v>
      </c>
      <c r="AB10" s="1" t="s">
        <v>70</v>
      </c>
      <c r="AC10" s="1" t="s">
        <v>71</v>
      </c>
      <c r="AD10" s="1" t="s">
        <v>72</v>
      </c>
      <c r="AE10" s="1" t="s">
        <v>111</v>
      </c>
      <c r="AF10" s="1" t="s">
        <v>73</v>
      </c>
      <c r="AG10" s="1" t="s">
        <v>74</v>
      </c>
      <c r="AH10" s="1" t="s">
        <v>75</v>
      </c>
      <c r="AI10" s="1" t="s">
        <v>76</v>
      </c>
      <c r="AJ10" s="1" t="s">
        <v>77</v>
      </c>
      <c r="AK10" s="1" t="s">
        <v>78</v>
      </c>
      <c r="AL10" s="1" t="s">
        <v>79</v>
      </c>
      <c r="AM10" s="1" t="s">
        <v>80</v>
      </c>
      <c r="AN10" s="1" t="s">
        <v>81</v>
      </c>
      <c r="AO10" s="1" t="s">
        <v>82</v>
      </c>
      <c r="AP10" s="1" t="s">
        <v>83</v>
      </c>
      <c r="AQ10" s="1" t="s">
        <v>84</v>
      </c>
      <c r="AR10" s="2" t="s">
        <v>85</v>
      </c>
      <c r="AS10" s="1" t="s">
        <v>86</v>
      </c>
      <c r="AT10" s="1" t="s">
        <v>87</v>
      </c>
      <c r="AU10" s="2" t="s">
        <v>88</v>
      </c>
      <c r="AV10" s="1" t="s">
        <v>38</v>
      </c>
      <c r="AW10" s="2" t="s">
        <v>39</v>
      </c>
      <c r="AX10" s="1" t="s">
        <v>115</v>
      </c>
      <c r="AY10" s="4" t="s">
        <v>90</v>
      </c>
      <c r="AZ10" s="4" t="s">
        <v>116</v>
      </c>
      <c r="BA10" s="4" t="s">
        <v>90</v>
      </c>
      <c r="BB10" s="4" t="s">
        <v>89</v>
      </c>
      <c r="BC10" s="4" t="s">
        <v>92</v>
      </c>
      <c r="BD10" s="4" t="s">
        <v>192</v>
      </c>
      <c r="BE10" s="4" t="s">
        <v>207</v>
      </c>
      <c r="BF10" s="1" t="s">
        <v>118</v>
      </c>
      <c r="BG10" s="105" t="str">
        <f>O10</f>
        <v>STU</v>
      </c>
      <c r="BH10" s="105" t="str">
        <f>P10</f>
        <v>MOV</v>
      </c>
      <c r="BI10" s="105" t="str">
        <f t="shared" ref="BI10:CJ10" si="4">Q10</f>
        <v>CON</v>
      </c>
      <c r="BJ10" s="105" t="str">
        <f t="shared" si="4"/>
        <v>STU P</v>
      </c>
      <c r="BK10" s="105" t="str">
        <f t="shared" si="4"/>
        <v>MOV P</v>
      </c>
      <c r="BL10" s="105" t="str">
        <f t="shared" si="4"/>
        <v>CON P</v>
      </c>
      <c r="BM10" s="105" t="str">
        <f t="shared" si="4"/>
        <v>FB</v>
      </c>
      <c r="BN10" s="105" t="str">
        <f t="shared" si="4"/>
        <v>FBP</v>
      </c>
      <c r="BO10" s="105" t="str">
        <f t="shared" si="4"/>
        <v>CH</v>
      </c>
      <c r="BP10" s="105" t="str">
        <f t="shared" si="4"/>
        <v>CHP</v>
      </c>
      <c r="BQ10" s="105" t="str">
        <f t="shared" si="4"/>
        <v>CB</v>
      </c>
      <c r="BR10" s="105" t="str">
        <f t="shared" si="4"/>
        <v>CBP</v>
      </c>
      <c r="BS10" s="105" t="str">
        <f t="shared" si="4"/>
        <v>SL</v>
      </c>
      <c r="BT10" s="105" t="str">
        <f t="shared" si="4"/>
        <v>SLP</v>
      </c>
      <c r="BU10" s="105" t="str">
        <f t="shared" si="4"/>
        <v>SI</v>
      </c>
      <c r="BV10" s="105" t="str">
        <f t="shared" si="4"/>
        <v>SIP</v>
      </c>
      <c r="BW10" s="105" t="str">
        <f t="shared" si="4"/>
        <v>SP</v>
      </c>
      <c r="BX10" s="105" t="str">
        <f t="shared" si="4"/>
        <v>SPP</v>
      </c>
      <c r="BY10" s="105" t="str">
        <f t="shared" si="4"/>
        <v>CT</v>
      </c>
      <c r="BZ10" s="105" t="str">
        <f t="shared" si="4"/>
        <v>CTP</v>
      </c>
      <c r="CA10" s="105" t="str">
        <f t="shared" si="4"/>
        <v>FO</v>
      </c>
      <c r="CB10" s="105" t="str">
        <f t="shared" si="4"/>
        <v>FOP</v>
      </c>
      <c r="CC10" s="105" t="str">
        <f t="shared" si="4"/>
        <v>CC</v>
      </c>
      <c r="CD10" s="105" t="str">
        <f t="shared" si="4"/>
        <v>CCP</v>
      </c>
      <c r="CE10" s="105" t="str">
        <f t="shared" si="4"/>
        <v>SC</v>
      </c>
      <c r="CF10" s="105" t="str">
        <f t="shared" si="4"/>
        <v>SCP</v>
      </c>
      <c r="CG10" s="105" t="str">
        <f t="shared" si="4"/>
        <v>KC</v>
      </c>
      <c r="CH10" s="105" t="str">
        <f t="shared" si="4"/>
        <v>KCP</v>
      </c>
      <c r="CI10" s="105" t="str">
        <f t="shared" si="4"/>
        <v>KN</v>
      </c>
      <c r="CJ10" s="105" t="str">
        <f t="shared" si="4"/>
        <v>KNP</v>
      </c>
      <c r="CK10" s="1" t="s">
        <v>221</v>
      </c>
    </row>
    <row r="11" spans="1:89">
      <c r="C11" t="str">
        <f t="shared" ref="C11:C42" si="5">IF(OR(M11&gt;7,AND(M11&gt;4,N11&gt;5)),"K","T")</f>
        <v>K</v>
      </c>
      <c r="D11" t="s">
        <v>110</v>
      </c>
      <c r="E11" t="s">
        <v>555</v>
      </c>
      <c r="F11" t="s">
        <v>384</v>
      </c>
      <c r="G11" t="s">
        <v>213</v>
      </c>
      <c r="H11">
        <v>25</v>
      </c>
      <c r="I11" t="s">
        <v>106</v>
      </c>
      <c r="J11" s="3" t="s">
        <v>106</v>
      </c>
      <c r="K11" t="s">
        <v>42</v>
      </c>
      <c r="L11" t="s">
        <v>42</v>
      </c>
      <c r="M11" t="s">
        <v>232</v>
      </c>
      <c r="N11" s="3" t="s">
        <v>230</v>
      </c>
      <c r="O11">
        <v>4</v>
      </c>
      <c r="P11">
        <v>6</v>
      </c>
      <c r="Q11" s="3">
        <v>5</v>
      </c>
      <c r="R11">
        <v>4</v>
      </c>
      <c r="S11">
        <v>6</v>
      </c>
      <c r="T11" s="3">
        <v>5</v>
      </c>
      <c r="U11">
        <v>6</v>
      </c>
      <c r="V11">
        <v>6</v>
      </c>
      <c r="W11">
        <v>3</v>
      </c>
      <c r="X11">
        <v>3</v>
      </c>
      <c r="Y11" t="s">
        <v>41</v>
      </c>
      <c r="Z11" t="s">
        <v>41</v>
      </c>
      <c r="AA11">
        <v>4</v>
      </c>
      <c r="AB11">
        <v>4</v>
      </c>
      <c r="AC11" t="s">
        <v>41</v>
      </c>
      <c r="AD11" t="s">
        <v>41</v>
      </c>
      <c r="AE11" t="s">
        <v>41</v>
      </c>
      <c r="AF11" t="s">
        <v>41</v>
      </c>
      <c r="AG11" t="s">
        <v>41</v>
      </c>
      <c r="AH11" t="s">
        <v>41</v>
      </c>
      <c r="AI11" t="s">
        <v>41</v>
      </c>
      <c r="AJ11" t="s">
        <v>41</v>
      </c>
      <c r="AK11" t="s">
        <v>41</v>
      </c>
      <c r="AL11" t="s">
        <v>41</v>
      </c>
      <c r="AM11" t="s">
        <v>41</v>
      </c>
      <c r="AN11" t="s">
        <v>41</v>
      </c>
      <c r="AO11" t="s">
        <v>41</v>
      </c>
      <c r="AP11" t="s">
        <v>41</v>
      </c>
      <c r="AQ11" t="s">
        <v>41</v>
      </c>
      <c r="AR11" s="3" t="s">
        <v>41</v>
      </c>
      <c r="AS11" t="s">
        <v>5</v>
      </c>
      <c r="AT11">
        <v>9</v>
      </c>
      <c r="AU11" s="11">
        <v>0.55000000000000004</v>
      </c>
      <c r="AV11" s="85" t="s">
        <v>41</v>
      </c>
      <c r="AW11" s="3" t="s">
        <v>45</v>
      </c>
      <c r="AX11" s="6">
        <f t="shared" ref="AX11:AX42" si="6">AVERAGE(O11:Q11)+0.25*MAX(0,(COUNT(U11,W11,Y11,AA11,AC11,AE11,AG11,AI11,AK11,AM11,AO11,AQ11)-3))+IF(AU11&gt;0.55,0.25,0)+IF(MAX(U11,W11,Y11,AA11,AC11,AE11,AG11,AI11,AK11,AM11,AO11,AQ11)&gt;5,0.25,0)</f>
        <v>5.25</v>
      </c>
      <c r="AY11" s="9" t="str">
        <f t="shared" ref="AY11:AY42" si="7">IF(AX11&gt;9,"SuperStar",IF(AX11&gt;8,"Star",IF(AX11&gt;6.5,"GoodReg",IF(AX11&gt;5,"Reg",IF(AX11&gt;4,"Bench","Minors")))))</f>
        <v>Reg</v>
      </c>
      <c r="AZ11" s="9">
        <f t="shared" ref="AZ11:AZ42" si="8">AVERAGE(R11:T11)+0.25*MAX(0,(COUNT(V11,X11,Z11,AB11,AD11,AF11,AH11,AJ11,AL11,AN11,AP11,AR11)-3))+IF(AU11&gt;0.55,0.25,0)+IF(MAX(V11,X11,Z11,AB11,AD11,AF11,AH11,AJ11,AL11,AN11,AP11,AR11)&gt;5,0.25,0)</f>
        <v>5.25</v>
      </c>
      <c r="BA11" s="9" t="str">
        <f t="shared" ref="BA11:BA42" si="9">IF(AZ11&gt;9,"SuperStar",IF(AZ11&gt;8,"Star",IF(AZ11&gt;6.5,"GoodReg",IF(AZ11&gt;5,"Reg",IF(AZ11&gt;4,"Bench","Minors")))))</f>
        <v>Reg</v>
      </c>
      <c r="BB11" s="9">
        <f t="shared" ref="BB11:BB42" si="10">MIN(AX11+(MAX(0,25-S11))^1.5,AZ11)</f>
        <v>5.25</v>
      </c>
      <c r="BC11" s="9" t="str">
        <f t="shared" ref="BC11:BC42" si="11">IF(BB11&gt;9,"SuperStar",IF(BB11&gt;8,"Star",IF(BB11&gt;6.5,"GoodReg",IF(BB11&gt;5,"Reg",IF(BB11&gt;4,"Bench","Minors")))))</f>
        <v>Reg</v>
      </c>
      <c r="BD11" s="84">
        <f t="shared" ref="BD11:BD42" si="12">COUNT(U11:AR11)/2</f>
        <v>3</v>
      </c>
      <c r="BE11" s="83">
        <f t="shared" ref="BE11:BE42" si="13">COUNTIF(U11:AR11,"&gt;5")/2</f>
        <v>1</v>
      </c>
      <c r="BF11" t="str">
        <f t="shared" ref="BF11:BF42" si="14">IF(AW11=1,"Yes","")</f>
        <v/>
      </c>
      <c r="BG11" s="91" t="e">
        <f>IF(O11="-","-",VLOOKUP($E11,CTPit!$E$10:$AW$75,BG$9,FALSE)-O11)</f>
        <v>#N/A</v>
      </c>
      <c r="BH11" s="91" t="e">
        <f>IF(P11="-","-",VLOOKUP($E11,CTPit!$E$10:$AW$75,BH$9,FALSE)-P11)</f>
        <v>#N/A</v>
      </c>
      <c r="BI11" s="91" t="e">
        <f>IF(Q11="-","-",VLOOKUP($E11,CTPit!$E$10:$AW$75,BI$9,FALSE)-Q11)</f>
        <v>#N/A</v>
      </c>
      <c r="BJ11" s="91" t="e">
        <f>IF(R11="-","-",VLOOKUP($E11,CTPit!$E$10:$AW$75,BJ$9,FALSE)-R11)</f>
        <v>#N/A</v>
      </c>
      <c r="BK11" s="91" t="e">
        <f>IF(S11="-","-",VLOOKUP($E11,CTPit!$E$10:$AW$75,BK$9,FALSE)-S11)</f>
        <v>#N/A</v>
      </c>
      <c r="BL11" s="91" t="e">
        <f>IF(T11="-","-",VLOOKUP($E11,CTPit!$E$10:$AW$75,BL$9,FALSE)-T11)</f>
        <v>#N/A</v>
      </c>
      <c r="BM11" s="91" t="e">
        <f>IF(U11="-","-",VLOOKUP($E11,CTPit!$E$10:$AW$75,BM$9,FALSE)-U11)</f>
        <v>#N/A</v>
      </c>
      <c r="BN11" s="91" t="e">
        <f>IF(V11="-","-",VLOOKUP($E11,CTPit!$E$10:$AW$75,BN$9,FALSE)-V11)</f>
        <v>#N/A</v>
      </c>
      <c r="BO11" s="91" t="e">
        <f>IF(W11="-","-",VLOOKUP($E11,CTPit!$E$10:$AW$75,BO$9,FALSE)-W11)</f>
        <v>#N/A</v>
      </c>
      <c r="BP11" s="91" t="e">
        <f>IF(X11="-","-",VLOOKUP($E11,CTPit!$E$10:$AW$75,BP$9,FALSE)-X11)</f>
        <v>#N/A</v>
      </c>
      <c r="BQ11" s="91" t="str">
        <f>IF(Y11="-","-",VLOOKUP($E11,CTPit!$E$10:$AW$75,BQ$9,FALSE)-Y11)</f>
        <v>-</v>
      </c>
      <c r="BR11" s="91" t="str">
        <f>IF(Z11="-","-",VLOOKUP($E11,CTPit!$E$10:$AW$75,BR$9,FALSE)-Z11)</f>
        <v>-</v>
      </c>
      <c r="BS11" s="91" t="e">
        <f>IF(AA11="-","-",VLOOKUP($E11,CTPit!$E$10:$AW$75,BS$9,FALSE)-AA11)</f>
        <v>#N/A</v>
      </c>
      <c r="BT11" s="91" t="e">
        <f>IF(AB11="-","-",VLOOKUP($E11,CTPit!$E$10:$AW$75,BT$9,FALSE)-AB11)</f>
        <v>#N/A</v>
      </c>
      <c r="BU11" s="91" t="str">
        <f>IF(AC11="-","-",VLOOKUP($E11,CTPit!$E$10:$AW$75,BU$9,FALSE)-AC11)</f>
        <v>-</v>
      </c>
      <c r="BV11" s="91" t="str">
        <f>IF(AD11="-","-",VLOOKUP($E11,CTPit!$E$10:$AW$75,BV$9,FALSE)-AD11)</f>
        <v>-</v>
      </c>
      <c r="BW11" s="91" t="str">
        <f>IF(AE11="-","-",VLOOKUP($E11,CTPit!$E$10:$AW$75,BW$9,FALSE)-AE11)</f>
        <v>-</v>
      </c>
      <c r="BX11" s="91" t="str">
        <f>IF(AF11="-","-",VLOOKUP($E11,CTPit!$E$10:$AW$75,BX$9,FALSE)-AF11)</f>
        <v>-</v>
      </c>
      <c r="BY11" s="91" t="str">
        <f>IF(AG11="-","-",VLOOKUP($E11,CTPit!$E$10:$AW$75,BY$9,FALSE)-AG11)</f>
        <v>-</v>
      </c>
      <c r="BZ11" s="91" t="str">
        <f>IF(AH11="-","-",VLOOKUP($E11,CTPit!$E$10:$AW$75,BZ$9,FALSE)-AH11)</f>
        <v>-</v>
      </c>
      <c r="CA11" s="91" t="str">
        <f>IF(AI11="-","-",VLOOKUP($E11,CTPit!$E$10:$AW$75,CA$9,FALSE)-AI11)</f>
        <v>-</v>
      </c>
      <c r="CB11" s="91" t="str">
        <f>IF(AJ11="-","-",VLOOKUP($E11,CTPit!$E$10:$AW$75,CB$9,FALSE)-AJ11)</f>
        <v>-</v>
      </c>
      <c r="CC11" s="91" t="str">
        <f>IF(AK11="-","-",VLOOKUP($E11,CTPit!$E$10:$AW$75,CC$9,FALSE)-AK11)</f>
        <v>-</v>
      </c>
      <c r="CD11" s="91" t="str">
        <f>IF(AL11="-","-",VLOOKUP($E11,CTPit!$E$10:$AW$75,CD$9,FALSE)-AL11)</f>
        <v>-</v>
      </c>
      <c r="CE11" s="91" t="str">
        <f>IF(AM11="-","-",VLOOKUP($E11,CTPit!$E$10:$AW$75,CE$9,FALSE)-AM11)</f>
        <v>-</v>
      </c>
      <c r="CF11" s="91" t="str">
        <f>IF(AN11="-","-",VLOOKUP($E11,CTPit!$E$10:$AW$75,CF$9,FALSE)-AN11)</f>
        <v>-</v>
      </c>
      <c r="CG11" s="91" t="str">
        <f>IF(AO11="-","-",VLOOKUP($E11,CTPit!$E$10:$AW$75,CG$9,FALSE)-AO11)</f>
        <v>-</v>
      </c>
      <c r="CH11" s="91" t="str">
        <f>IF(AP11="-","-",VLOOKUP($E11,CTPit!$E$10:$AW$75,CH$9,FALSE)-AP11)</f>
        <v>-</v>
      </c>
      <c r="CI11" s="91" t="str">
        <f>IF(AQ11="-","-",VLOOKUP($E11,CTPit!$E$10:$AW$75,CI$9,FALSE)-AQ11)</f>
        <v>-</v>
      </c>
      <c r="CJ11" s="91" t="str">
        <f>IF(AR11="-","-",VLOOKUP($E11,CTPit!$E$10:$AW$75,CJ$9,FALSE)-AR11)</f>
        <v>-</v>
      </c>
      <c r="CK11" t="e">
        <f t="shared" ref="CK11:CK42" si="15">SUM(BG11:CJ11)</f>
        <v>#N/A</v>
      </c>
    </row>
    <row r="12" spans="1:89">
      <c r="C12" t="str">
        <f t="shared" si="5"/>
        <v>K</v>
      </c>
      <c r="D12" t="s">
        <v>110</v>
      </c>
      <c r="E12" t="s">
        <v>469</v>
      </c>
      <c r="F12" t="s">
        <v>383</v>
      </c>
      <c r="G12" t="s">
        <v>327</v>
      </c>
      <c r="H12">
        <v>21</v>
      </c>
      <c r="I12" t="s">
        <v>109</v>
      </c>
      <c r="J12" s="3" t="s">
        <v>107</v>
      </c>
      <c r="K12" t="s">
        <v>47</v>
      </c>
      <c r="L12" t="s">
        <v>47</v>
      </c>
      <c r="M12" t="s">
        <v>229</v>
      </c>
      <c r="N12" s="3" t="s">
        <v>231</v>
      </c>
      <c r="O12">
        <v>4</v>
      </c>
      <c r="P12">
        <v>4</v>
      </c>
      <c r="Q12" s="3">
        <v>3</v>
      </c>
      <c r="R12">
        <v>4</v>
      </c>
      <c r="S12">
        <v>4</v>
      </c>
      <c r="T12" s="3">
        <v>3</v>
      </c>
      <c r="U12">
        <v>5</v>
      </c>
      <c r="V12">
        <v>5</v>
      </c>
      <c r="W12">
        <v>4</v>
      </c>
      <c r="X12">
        <v>4</v>
      </c>
      <c r="Y12">
        <v>4</v>
      </c>
      <c r="Z12">
        <v>4</v>
      </c>
      <c r="AA12" t="s">
        <v>41</v>
      </c>
      <c r="AB12" t="s">
        <v>41</v>
      </c>
      <c r="AC12" t="s">
        <v>41</v>
      </c>
      <c r="AD12" t="s">
        <v>41</v>
      </c>
      <c r="AE12" t="s">
        <v>41</v>
      </c>
      <c r="AF12" t="s">
        <v>41</v>
      </c>
      <c r="AG12" t="s">
        <v>41</v>
      </c>
      <c r="AH12" t="s">
        <v>41</v>
      </c>
      <c r="AI12" t="s">
        <v>41</v>
      </c>
      <c r="AJ12" t="s">
        <v>41</v>
      </c>
      <c r="AK12" t="s">
        <v>41</v>
      </c>
      <c r="AL12" t="s">
        <v>41</v>
      </c>
      <c r="AM12" t="s">
        <v>41</v>
      </c>
      <c r="AN12" t="s">
        <v>41</v>
      </c>
      <c r="AO12" t="s">
        <v>41</v>
      </c>
      <c r="AP12" t="s">
        <v>41</v>
      </c>
      <c r="AQ12" t="s">
        <v>41</v>
      </c>
      <c r="AR12" s="3" t="s">
        <v>41</v>
      </c>
      <c r="AS12" t="s">
        <v>11</v>
      </c>
      <c r="AT12">
        <v>8</v>
      </c>
      <c r="AU12" s="11">
        <v>0.48</v>
      </c>
      <c r="AV12" s="85" t="s">
        <v>41</v>
      </c>
      <c r="AW12" s="3" t="s">
        <v>45</v>
      </c>
      <c r="AX12" s="6">
        <f t="shared" si="6"/>
        <v>3.6666666666666665</v>
      </c>
      <c r="AY12" s="9" t="str">
        <f t="shared" si="7"/>
        <v>Minors</v>
      </c>
      <c r="AZ12" s="9">
        <f t="shared" si="8"/>
        <v>3.6666666666666665</v>
      </c>
      <c r="BA12" s="9" t="str">
        <f t="shared" si="9"/>
        <v>Minors</v>
      </c>
      <c r="BB12" s="9">
        <f t="shared" si="10"/>
        <v>3.6666666666666665</v>
      </c>
      <c r="BC12" s="9" t="str">
        <f t="shared" si="11"/>
        <v>Minors</v>
      </c>
      <c r="BD12" s="84">
        <f t="shared" si="12"/>
        <v>3</v>
      </c>
      <c r="BE12" s="83">
        <f t="shared" si="13"/>
        <v>0</v>
      </c>
      <c r="BF12" t="str">
        <f t="shared" si="14"/>
        <v/>
      </c>
      <c r="BG12" s="91" t="e">
        <f>IF(O12="-","-",VLOOKUP($E12,CTPit!$E$10:$AW$75,BG$9,FALSE)-O12)</f>
        <v>#N/A</v>
      </c>
      <c r="BH12" s="91" t="e">
        <f>IF(P12="-","-",VLOOKUP($E12,CTPit!$E$10:$AW$75,BH$9,FALSE)-P12)</f>
        <v>#N/A</v>
      </c>
      <c r="BI12" s="91" t="e">
        <f>IF(Q12="-","-",VLOOKUP($E12,CTPit!$E$10:$AW$75,BI$9,FALSE)-Q12)</f>
        <v>#N/A</v>
      </c>
      <c r="BJ12" s="91" t="e">
        <f>IF(R12="-","-",VLOOKUP($E12,CTPit!$E$10:$AW$75,BJ$9,FALSE)-R12)</f>
        <v>#N/A</v>
      </c>
      <c r="BK12" s="91" t="e">
        <f>IF(S12="-","-",VLOOKUP($E12,CTPit!$E$10:$AW$75,BK$9,FALSE)-S12)</f>
        <v>#N/A</v>
      </c>
      <c r="BL12" s="91" t="e">
        <f>IF(T12="-","-",VLOOKUP($E12,CTPit!$E$10:$AW$75,BL$9,FALSE)-T12)</f>
        <v>#N/A</v>
      </c>
      <c r="BM12" s="91" t="e">
        <f>IF(U12="-","-",VLOOKUP($E12,CTPit!$E$10:$AW$75,BM$9,FALSE)-U12)</f>
        <v>#N/A</v>
      </c>
      <c r="BN12" s="91" t="e">
        <f>IF(V12="-","-",VLOOKUP($E12,CTPit!$E$10:$AW$75,BN$9,FALSE)-V12)</f>
        <v>#N/A</v>
      </c>
      <c r="BO12" s="91" t="e">
        <f>IF(W12="-","-",VLOOKUP($E12,CTPit!$E$10:$AW$75,BO$9,FALSE)-W12)</f>
        <v>#N/A</v>
      </c>
      <c r="BP12" s="91" t="e">
        <f>IF(X12="-","-",VLOOKUP($E12,CTPit!$E$10:$AW$75,BP$9,FALSE)-X12)</f>
        <v>#N/A</v>
      </c>
      <c r="BQ12" s="91" t="e">
        <f>IF(Y12="-","-",VLOOKUP($E12,CTPit!$E$10:$AW$75,BQ$9,FALSE)-Y12)</f>
        <v>#N/A</v>
      </c>
      <c r="BR12" s="91" t="e">
        <f>IF(Z12="-","-",VLOOKUP($E12,CTPit!$E$10:$AW$75,BR$9,FALSE)-Z12)</f>
        <v>#N/A</v>
      </c>
      <c r="BS12" s="91" t="str">
        <f>IF(AA12="-","-",VLOOKUP($E12,CTPit!$E$10:$AW$75,BS$9,FALSE)-AA12)</f>
        <v>-</v>
      </c>
      <c r="BT12" s="91" t="str">
        <f>IF(AB12="-","-",VLOOKUP($E12,CTPit!$E$10:$AW$75,BT$9,FALSE)-AB12)</f>
        <v>-</v>
      </c>
      <c r="BU12" s="91" t="str">
        <f>IF(AC12="-","-",VLOOKUP($E12,CTPit!$E$10:$AW$75,BU$9,FALSE)-AC12)</f>
        <v>-</v>
      </c>
      <c r="BV12" s="91" t="str">
        <f>IF(AD12="-","-",VLOOKUP($E12,CTPit!$E$10:$AW$75,BV$9,FALSE)-AD12)</f>
        <v>-</v>
      </c>
      <c r="BW12" s="91" t="str">
        <f>IF(AE12="-","-",VLOOKUP($E12,CTPit!$E$10:$AW$75,BW$9,FALSE)-AE12)</f>
        <v>-</v>
      </c>
      <c r="BX12" s="91" t="str">
        <f>IF(AF12="-","-",VLOOKUP($E12,CTPit!$E$10:$AW$75,BX$9,FALSE)-AF12)</f>
        <v>-</v>
      </c>
      <c r="BY12" s="91" t="str">
        <f>IF(AG12="-","-",VLOOKUP($E12,CTPit!$E$10:$AW$75,BY$9,FALSE)-AG12)</f>
        <v>-</v>
      </c>
      <c r="BZ12" s="91" t="str">
        <f>IF(AH12="-","-",VLOOKUP($E12,CTPit!$E$10:$AW$75,BZ$9,FALSE)-AH12)</f>
        <v>-</v>
      </c>
      <c r="CA12" s="91" t="str">
        <f>IF(AI12="-","-",VLOOKUP($E12,CTPit!$E$10:$AW$75,CA$9,FALSE)-AI12)</f>
        <v>-</v>
      </c>
      <c r="CB12" s="91" t="str">
        <f>IF(AJ12="-","-",VLOOKUP($E12,CTPit!$E$10:$AW$75,CB$9,FALSE)-AJ12)</f>
        <v>-</v>
      </c>
      <c r="CC12" s="91" t="str">
        <f>IF(AK12="-","-",VLOOKUP($E12,CTPit!$E$10:$AW$75,CC$9,FALSE)-AK12)</f>
        <v>-</v>
      </c>
      <c r="CD12" s="91" t="str">
        <f>IF(AL12="-","-",VLOOKUP($E12,CTPit!$E$10:$AW$75,CD$9,FALSE)-AL12)</f>
        <v>-</v>
      </c>
      <c r="CE12" s="91" t="str">
        <f>IF(AM12="-","-",VLOOKUP($E12,CTPit!$E$10:$AW$75,CE$9,FALSE)-AM12)</f>
        <v>-</v>
      </c>
      <c r="CF12" s="91" t="str">
        <f>IF(AN12="-","-",VLOOKUP($E12,CTPit!$E$10:$AW$75,CF$9,FALSE)-AN12)</f>
        <v>-</v>
      </c>
      <c r="CG12" s="91" t="str">
        <f>IF(AO12="-","-",VLOOKUP($E12,CTPit!$E$10:$AW$75,CG$9,FALSE)-AO12)</f>
        <v>-</v>
      </c>
      <c r="CH12" s="91" t="str">
        <f>IF(AP12="-","-",VLOOKUP($E12,CTPit!$E$10:$AW$75,CH$9,FALSE)-AP12)</f>
        <v>-</v>
      </c>
      <c r="CI12" s="91" t="str">
        <f>IF(AQ12="-","-",VLOOKUP($E12,CTPit!$E$10:$AW$75,CI$9,FALSE)-AQ12)</f>
        <v>-</v>
      </c>
      <c r="CJ12" s="91" t="str">
        <f>IF(AR12="-","-",VLOOKUP($E12,CTPit!$E$10:$AW$75,CJ$9,FALSE)-AR12)</f>
        <v>-</v>
      </c>
      <c r="CK12" t="e">
        <f t="shared" si="15"/>
        <v>#N/A</v>
      </c>
    </row>
    <row r="13" spans="1:89">
      <c r="C13" t="str">
        <f t="shared" si="5"/>
        <v>K</v>
      </c>
      <c r="D13" t="s">
        <v>111</v>
      </c>
      <c r="E13" t="s">
        <v>410</v>
      </c>
      <c r="F13" t="s">
        <v>383</v>
      </c>
      <c r="G13" t="s">
        <v>327</v>
      </c>
      <c r="H13">
        <v>21</v>
      </c>
      <c r="I13" t="s">
        <v>107</v>
      </c>
      <c r="J13" s="220" t="s">
        <v>107</v>
      </c>
      <c r="K13" t="s">
        <v>47</v>
      </c>
      <c r="L13" t="s">
        <v>47</v>
      </c>
      <c r="M13" t="s">
        <v>232</v>
      </c>
      <c r="N13" s="220" t="s">
        <v>228</v>
      </c>
      <c r="O13">
        <v>3</v>
      </c>
      <c r="P13">
        <v>3</v>
      </c>
      <c r="Q13" s="220">
        <v>4</v>
      </c>
      <c r="R13">
        <v>3</v>
      </c>
      <c r="S13">
        <v>4</v>
      </c>
      <c r="T13" s="220">
        <v>6</v>
      </c>
      <c r="U13">
        <v>4</v>
      </c>
      <c r="V13">
        <v>5</v>
      </c>
      <c r="W13">
        <v>2</v>
      </c>
      <c r="X13">
        <v>3</v>
      </c>
      <c r="Y13" t="s">
        <v>41</v>
      </c>
      <c r="Z13" t="s">
        <v>41</v>
      </c>
      <c r="AA13">
        <v>3</v>
      </c>
      <c r="AB13">
        <v>4</v>
      </c>
      <c r="AC13" t="s">
        <v>41</v>
      </c>
      <c r="AD13" t="s">
        <v>41</v>
      </c>
      <c r="AE13">
        <v>4</v>
      </c>
      <c r="AF13">
        <v>4</v>
      </c>
      <c r="AG13" t="s">
        <v>41</v>
      </c>
      <c r="AH13" t="s">
        <v>41</v>
      </c>
      <c r="AI13" t="s">
        <v>41</v>
      </c>
      <c r="AJ13" t="s">
        <v>41</v>
      </c>
      <c r="AK13" t="s">
        <v>41</v>
      </c>
      <c r="AL13" t="s">
        <v>41</v>
      </c>
      <c r="AM13" t="s">
        <v>41</v>
      </c>
      <c r="AN13" t="s">
        <v>41</v>
      </c>
      <c r="AO13" t="s">
        <v>41</v>
      </c>
      <c r="AP13" t="s">
        <v>41</v>
      </c>
      <c r="AQ13" t="s">
        <v>41</v>
      </c>
      <c r="AR13" s="220" t="s">
        <v>41</v>
      </c>
      <c r="AS13" t="s">
        <v>6</v>
      </c>
      <c r="AT13">
        <v>9</v>
      </c>
      <c r="AU13" s="281">
        <v>0.4</v>
      </c>
      <c r="AV13" t="s">
        <v>41</v>
      </c>
      <c r="AW13" s="8">
        <v>0</v>
      </c>
      <c r="AX13" s="6">
        <f t="shared" si="6"/>
        <v>3.5833333333333335</v>
      </c>
      <c r="AY13" s="9" t="str">
        <f t="shared" si="7"/>
        <v>Minors</v>
      </c>
      <c r="AZ13" s="9">
        <f t="shared" si="8"/>
        <v>4.583333333333333</v>
      </c>
      <c r="BA13" s="9" t="str">
        <f t="shared" si="9"/>
        <v>Bench</v>
      </c>
      <c r="BB13" s="9">
        <f t="shared" si="10"/>
        <v>4.583333333333333</v>
      </c>
      <c r="BC13" s="9" t="str">
        <f t="shared" si="11"/>
        <v>Bench</v>
      </c>
      <c r="BD13" s="84">
        <f t="shared" si="12"/>
        <v>4</v>
      </c>
      <c r="BE13" s="83">
        <f t="shared" si="13"/>
        <v>0</v>
      </c>
      <c r="BF13" t="str">
        <f t="shared" si="14"/>
        <v/>
      </c>
      <c r="BG13" s="91">
        <f>IF(O13="-","-",VLOOKUP($E13,CTPit!$E$10:$AW$75,BG$9,FALSE)-O13)</f>
        <v>0</v>
      </c>
      <c r="BH13" s="91">
        <f>IF(P13="-","-",VLOOKUP($E13,CTPit!$E$10:$AW$75,BH$9,FALSE)-P13)</f>
        <v>0</v>
      </c>
      <c r="BI13" s="91">
        <f>IF(Q13="-","-",VLOOKUP($E13,CTPit!$E$10:$AW$75,BI$9,FALSE)-Q13)</f>
        <v>0</v>
      </c>
      <c r="BJ13" s="91">
        <f>IF(R13="-","-",VLOOKUP($E13,CTPit!$E$10:$AW$75,BJ$9,FALSE)-R13)</f>
        <v>0</v>
      </c>
      <c r="BK13" s="91">
        <f>IF(S13="-","-",VLOOKUP($E13,CTPit!$E$10:$AW$75,BK$9,FALSE)-S13)</f>
        <v>0</v>
      </c>
      <c r="BL13" s="91">
        <f>IF(T13="-","-",VLOOKUP($E13,CTPit!$E$10:$AW$75,BL$9,FALSE)-T13)</f>
        <v>0</v>
      </c>
      <c r="BM13" s="91">
        <f>IF(U13="-","-",VLOOKUP($E13,CTPit!$E$10:$AW$75,BM$9,FALSE)-U13)</f>
        <v>0</v>
      </c>
      <c r="BN13" s="91">
        <f>IF(V13="-","-",VLOOKUP($E13,CTPit!$E$10:$AW$75,BN$9,FALSE)-V13)</f>
        <v>0</v>
      </c>
      <c r="BO13" s="91">
        <f>IF(W13="-","-",VLOOKUP($E13,CTPit!$E$10:$AW$75,BO$9,FALSE)-W13)</f>
        <v>0</v>
      </c>
      <c r="BP13" s="91">
        <f>IF(X13="-","-",VLOOKUP($E13,CTPit!$E$10:$AW$75,BP$9,FALSE)-X13)</f>
        <v>0</v>
      </c>
      <c r="BQ13" s="91" t="str">
        <f>IF(Y13="-","-",VLOOKUP($E13,CTPit!$E$10:$AW$75,BQ$9,FALSE)-Y13)</f>
        <v>-</v>
      </c>
      <c r="BR13" s="91" t="str">
        <f>IF(Z13="-","-",VLOOKUP($E13,CTPit!$E$10:$AW$75,BR$9,FALSE)-Z13)</f>
        <v>-</v>
      </c>
      <c r="BS13" s="91">
        <f>IF(AA13="-","-",VLOOKUP($E13,CTPit!$E$10:$AW$75,BS$9,FALSE)-AA13)</f>
        <v>0</v>
      </c>
      <c r="BT13" s="91">
        <f>IF(AB13="-","-",VLOOKUP($E13,CTPit!$E$10:$AW$75,BT$9,FALSE)-AB13)</f>
        <v>0</v>
      </c>
      <c r="BU13" s="91" t="str">
        <f>IF(AC13="-","-",VLOOKUP($E13,CTPit!$E$10:$AW$75,BU$9,FALSE)-AC13)</f>
        <v>-</v>
      </c>
      <c r="BV13" s="91" t="str">
        <f>IF(AD13="-","-",VLOOKUP($E13,CTPit!$E$10:$AW$75,BV$9,FALSE)-AD13)</f>
        <v>-</v>
      </c>
      <c r="BW13" s="91">
        <f>IF(AE13="-","-",VLOOKUP($E13,CTPit!$E$10:$AW$75,BW$9,FALSE)-AE13)</f>
        <v>0</v>
      </c>
      <c r="BX13" s="91">
        <f>IF(AF13="-","-",VLOOKUP($E13,CTPit!$E$10:$AW$75,BX$9,FALSE)-AF13)</f>
        <v>0</v>
      </c>
      <c r="BY13" s="91" t="str">
        <f>IF(AG13="-","-",VLOOKUP($E13,CTPit!$E$10:$AW$75,BY$9,FALSE)-AG13)</f>
        <v>-</v>
      </c>
      <c r="BZ13" s="91" t="str">
        <f>IF(AH13="-","-",VLOOKUP($E13,CTPit!$E$10:$AW$75,BZ$9,FALSE)-AH13)</f>
        <v>-</v>
      </c>
      <c r="CA13" s="91" t="str">
        <f>IF(AI13="-","-",VLOOKUP($E13,CTPit!$E$10:$AW$75,CA$9,FALSE)-AI13)</f>
        <v>-</v>
      </c>
      <c r="CB13" s="91" t="str">
        <f>IF(AJ13="-","-",VLOOKUP($E13,CTPit!$E$10:$AW$75,CB$9,FALSE)-AJ13)</f>
        <v>-</v>
      </c>
      <c r="CC13" s="91" t="str">
        <f>IF(AK13="-","-",VLOOKUP($E13,CTPit!$E$10:$AW$75,CC$9,FALSE)-AK13)</f>
        <v>-</v>
      </c>
      <c r="CD13" s="91" t="str">
        <f>IF(AL13="-","-",VLOOKUP($E13,CTPit!$E$10:$AW$75,CD$9,FALSE)-AL13)</f>
        <v>-</v>
      </c>
      <c r="CE13" s="91" t="str">
        <f>IF(AM13="-","-",VLOOKUP($E13,CTPit!$E$10:$AW$75,CE$9,FALSE)-AM13)</f>
        <v>-</v>
      </c>
      <c r="CF13" s="91" t="str">
        <f>IF(AN13="-","-",VLOOKUP($E13,CTPit!$E$10:$AW$75,CF$9,FALSE)-AN13)</f>
        <v>-</v>
      </c>
      <c r="CG13" s="91" t="str">
        <f>IF(AO13="-","-",VLOOKUP($E13,CTPit!$E$10:$AW$75,CG$9,FALSE)-AO13)</f>
        <v>-</v>
      </c>
      <c r="CH13" s="91" t="str">
        <f>IF(AP13="-","-",VLOOKUP($E13,CTPit!$E$10:$AW$75,CH$9,FALSE)-AP13)</f>
        <v>-</v>
      </c>
      <c r="CI13" s="91" t="str">
        <f>IF(AQ13="-","-",VLOOKUP($E13,CTPit!$E$10:$AW$75,CI$9,FALSE)-AQ13)</f>
        <v>-</v>
      </c>
      <c r="CJ13" s="91" t="str">
        <f>IF(AR13="-","-",VLOOKUP($E13,CTPit!$E$10:$AW$75,CJ$9,FALSE)-AR13)</f>
        <v>-</v>
      </c>
      <c r="CK13">
        <f t="shared" si="15"/>
        <v>0</v>
      </c>
    </row>
    <row r="14" spans="1:89">
      <c r="C14" t="str">
        <f t="shared" si="5"/>
        <v>K</v>
      </c>
      <c r="D14" t="s">
        <v>110</v>
      </c>
      <c r="E14" t="s">
        <v>435</v>
      </c>
      <c r="F14" t="s">
        <v>383</v>
      </c>
      <c r="G14" t="s">
        <v>327</v>
      </c>
      <c r="H14">
        <v>20</v>
      </c>
      <c r="I14" t="s">
        <v>106</v>
      </c>
      <c r="J14" s="220" t="s">
        <v>106</v>
      </c>
      <c r="K14" t="s">
        <v>47</v>
      </c>
      <c r="L14" t="s">
        <v>47</v>
      </c>
      <c r="M14" t="s">
        <v>232</v>
      </c>
      <c r="N14" s="220" t="s">
        <v>228</v>
      </c>
      <c r="O14">
        <v>6</v>
      </c>
      <c r="P14">
        <v>3</v>
      </c>
      <c r="Q14" s="220">
        <v>1</v>
      </c>
      <c r="R14">
        <v>6</v>
      </c>
      <c r="S14">
        <v>3</v>
      </c>
      <c r="T14" s="220">
        <v>2</v>
      </c>
      <c r="U14">
        <v>6</v>
      </c>
      <c r="V14">
        <v>7</v>
      </c>
      <c r="W14">
        <v>1</v>
      </c>
      <c r="X14">
        <v>1</v>
      </c>
      <c r="Y14">
        <v>4</v>
      </c>
      <c r="Z14">
        <v>5</v>
      </c>
      <c r="AA14" t="s">
        <v>41</v>
      </c>
      <c r="AB14" t="s">
        <v>41</v>
      </c>
      <c r="AC14" t="s">
        <v>41</v>
      </c>
      <c r="AD14" t="s">
        <v>41</v>
      </c>
      <c r="AE14" t="s">
        <v>41</v>
      </c>
      <c r="AF14" t="s">
        <v>41</v>
      </c>
      <c r="AG14" t="s">
        <v>41</v>
      </c>
      <c r="AH14" t="s">
        <v>41</v>
      </c>
      <c r="AI14" t="s">
        <v>41</v>
      </c>
      <c r="AJ14" t="s">
        <v>41</v>
      </c>
      <c r="AK14" t="s">
        <v>41</v>
      </c>
      <c r="AL14" t="s">
        <v>41</v>
      </c>
      <c r="AM14" t="s">
        <v>41</v>
      </c>
      <c r="AN14" t="s">
        <v>41</v>
      </c>
      <c r="AO14" t="s">
        <v>41</v>
      </c>
      <c r="AP14" t="s">
        <v>41</v>
      </c>
      <c r="AQ14" t="s">
        <v>41</v>
      </c>
      <c r="AR14" s="220" t="s">
        <v>41</v>
      </c>
      <c r="AS14" t="s">
        <v>456</v>
      </c>
      <c r="AT14">
        <v>10</v>
      </c>
      <c r="AU14" s="281">
        <v>0.37</v>
      </c>
      <c r="AV14" t="s">
        <v>41</v>
      </c>
      <c r="AW14" s="8">
        <v>0</v>
      </c>
      <c r="AX14" s="6">
        <f t="shared" si="6"/>
        <v>3.5833333333333335</v>
      </c>
      <c r="AY14" s="9" t="str">
        <f t="shared" si="7"/>
        <v>Minors</v>
      </c>
      <c r="AZ14" s="9">
        <f t="shared" si="8"/>
        <v>3.9166666666666665</v>
      </c>
      <c r="BA14" s="9" t="str">
        <f t="shared" si="9"/>
        <v>Minors</v>
      </c>
      <c r="BB14" s="9">
        <f t="shared" si="10"/>
        <v>3.9166666666666665</v>
      </c>
      <c r="BC14" s="9" t="str">
        <f t="shared" si="11"/>
        <v>Minors</v>
      </c>
      <c r="BD14" s="84">
        <f t="shared" si="12"/>
        <v>3</v>
      </c>
      <c r="BE14" s="83">
        <f t="shared" si="13"/>
        <v>1</v>
      </c>
      <c r="BF14" t="str">
        <f t="shared" si="14"/>
        <v/>
      </c>
      <c r="BG14" s="91">
        <f>IF(O14="-","-",VLOOKUP($E14,CTPit!$E$10:$AW$75,BG$9,FALSE)-O14)</f>
        <v>0</v>
      </c>
      <c r="BH14" s="91">
        <f>IF(P14="-","-",VLOOKUP($E14,CTPit!$E$10:$AW$75,BH$9,FALSE)-P14)</f>
        <v>0</v>
      </c>
      <c r="BI14" s="91">
        <f>IF(Q14="-","-",VLOOKUP($E14,CTPit!$E$10:$AW$75,BI$9,FALSE)-Q14)</f>
        <v>0</v>
      </c>
      <c r="BJ14" s="91">
        <f>IF(R14="-","-",VLOOKUP($E14,CTPit!$E$10:$AW$75,BJ$9,FALSE)-R14)</f>
        <v>0</v>
      </c>
      <c r="BK14" s="91">
        <f>IF(S14="-","-",VLOOKUP($E14,CTPit!$E$10:$AW$75,BK$9,FALSE)-S14)</f>
        <v>0</v>
      </c>
      <c r="BL14" s="91">
        <f>IF(T14="-","-",VLOOKUP($E14,CTPit!$E$10:$AW$75,BL$9,FALSE)-T14)</f>
        <v>0</v>
      </c>
      <c r="BM14" s="91">
        <f>IF(U14="-","-",VLOOKUP($E14,CTPit!$E$10:$AW$75,BM$9,FALSE)-U14)</f>
        <v>0</v>
      </c>
      <c r="BN14" s="91">
        <f>IF(V14="-","-",VLOOKUP($E14,CTPit!$E$10:$AW$75,BN$9,FALSE)-V14)</f>
        <v>0</v>
      </c>
      <c r="BO14" s="91">
        <f>IF(W14="-","-",VLOOKUP($E14,CTPit!$E$10:$AW$75,BO$9,FALSE)-W14)</f>
        <v>0</v>
      </c>
      <c r="BP14" s="91">
        <f>IF(X14="-","-",VLOOKUP($E14,CTPit!$E$10:$AW$75,BP$9,FALSE)-X14)</f>
        <v>0</v>
      </c>
      <c r="BQ14" s="91">
        <f>IF(Y14="-","-",VLOOKUP($E14,CTPit!$E$10:$AW$75,BQ$9,FALSE)-Y14)</f>
        <v>0</v>
      </c>
      <c r="BR14" s="91">
        <f>IF(Z14="-","-",VLOOKUP($E14,CTPit!$E$10:$AW$75,BR$9,FALSE)-Z14)</f>
        <v>0</v>
      </c>
      <c r="BS14" s="91" t="str">
        <f>IF(AA14="-","-",VLOOKUP($E14,CTPit!$E$10:$AW$75,BS$9,FALSE)-AA14)</f>
        <v>-</v>
      </c>
      <c r="BT14" s="91" t="str">
        <f>IF(AB14="-","-",VLOOKUP($E14,CTPit!$E$10:$AW$75,BT$9,FALSE)-AB14)</f>
        <v>-</v>
      </c>
      <c r="BU14" s="91" t="str">
        <f>IF(AC14="-","-",VLOOKUP($E14,CTPit!$E$10:$AW$75,BU$9,FALSE)-AC14)</f>
        <v>-</v>
      </c>
      <c r="BV14" s="91" t="str">
        <f>IF(AD14="-","-",VLOOKUP($E14,CTPit!$E$10:$AW$75,BV$9,FALSE)-AD14)</f>
        <v>-</v>
      </c>
      <c r="BW14" s="91" t="str">
        <f>IF(AE14="-","-",VLOOKUP($E14,CTPit!$E$10:$AW$75,BW$9,FALSE)-AE14)</f>
        <v>-</v>
      </c>
      <c r="BX14" s="91" t="str">
        <f>IF(AF14="-","-",VLOOKUP($E14,CTPit!$E$10:$AW$75,BX$9,FALSE)-AF14)</f>
        <v>-</v>
      </c>
      <c r="BY14" s="91" t="str">
        <f>IF(AG14="-","-",VLOOKUP($E14,CTPit!$E$10:$AW$75,BY$9,FALSE)-AG14)</f>
        <v>-</v>
      </c>
      <c r="BZ14" s="91" t="str">
        <f>IF(AH14="-","-",VLOOKUP($E14,CTPit!$E$10:$AW$75,BZ$9,FALSE)-AH14)</f>
        <v>-</v>
      </c>
      <c r="CA14" s="91" t="str">
        <f>IF(AI14="-","-",VLOOKUP($E14,CTPit!$E$10:$AW$75,CA$9,FALSE)-AI14)</f>
        <v>-</v>
      </c>
      <c r="CB14" s="91" t="str">
        <f>IF(AJ14="-","-",VLOOKUP($E14,CTPit!$E$10:$AW$75,CB$9,FALSE)-AJ14)</f>
        <v>-</v>
      </c>
      <c r="CC14" s="91" t="str">
        <f>IF(AK14="-","-",VLOOKUP($E14,CTPit!$E$10:$AW$75,CC$9,FALSE)-AK14)</f>
        <v>-</v>
      </c>
      <c r="CD14" s="91" t="str">
        <f>IF(AL14="-","-",VLOOKUP($E14,CTPit!$E$10:$AW$75,CD$9,FALSE)-AL14)</f>
        <v>-</v>
      </c>
      <c r="CE14" s="91" t="str">
        <f>IF(AM14="-","-",VLOOKUP($E14,CTPit!$E$10:$AW$75,CE$9,FALSE)-AM14)</f>
        <v>-</v>
      </c>
      <c r="CF14" s="91" t="str">
        <f>IF(AN14="-","-",VLOOKUP($E14,CTPit!$E$10:$AW$75,CF$9,FALSE)-AN14)</f>
        <v>-</v>
      </c>
      <c r="CG14" s="91" t="str">
        <f>IF(AO14="-","-",VLOOKUP($E14,CTPit!$E$10:$AW$75,CG$9,FALSE)-AO14)</f>
        <v>-</v>
      </c>
      <c r="CH14" s="91" t="str">
        <f>IF(AP14="-","-",VLOOKUP($E14,CTPit!$E$10:$AW$75,CH$9,FALSE)-AP14)</f>
        <v>-</v>
      </c>
      <c r="CI14" s="91" t="str">
        <f>IF(AQ14="-","-",VLOOKUP($E14,CTPit!$E$10:$AW$75,CI$9,FALSE)-AQ14)</f>
        <v>-</v>
      </c>
      <c r="CJ14" s="91" t="str">
        <f>IF(AR14="-","-",VLOOKUP($E14,CTPit!$E$10:$AW$75,CJ$9,FALSE)-AR14)</f>
        <v>-</v>
      </c>
      <c r="CK14">
        <f t="shared" si="15"/>
        <v>0</v>
      </c>
    </row>
    <row r="15" spans="1:89">
      <c r="C15" t="str">
        <f t="shared" si="5"/>
        <v>K</v>
      </c>
      <c r="D15" t="s">
        <v>110</v>
      </c>
      <c r="E15" t="s">
        <v>470</v>
      </c>
      <c r="F15" t="s">
        <v>386</v>
      </c>
      <c r="G15" t="s">
        <v>215</v>
      </c>
      <c r="H15">
        <v>22</v>
      </c>
      <c r="I15" t="s">
        <v>107</v>
      </c>
      <c r="J15" s="220" t="s">
        <v>107</v>
      </c>
      <c r="K15" t="s">
        <v>47</v>
      </c>
      <c r="L15" t="s">
        <v>47</v>
      </c>
      <c r="M15" t="s">
        <v>231</v>
      </c>
      <c r="N15" s="220" t="s">
        <v>230</v>
      </c>
      <c r="O15">
        <v>3</v>
      </c>
      <c r="P15">
        <v>3</v>
      </c>
      <c r="Q15" s="220">
        <v>3</v>
      </c>
      <c r="R15">
        <v>4</v>
      </c>
      <c r="S15">
        <v>3</v>
      </c>
      <c r="T15" s="220">
        <v>5</v>
      </c>
      <c r="U15">
        <v>6</v>
      </c>
      <c r="V15">
        <v>6</v>
      </c>
      <c r="W15">
        <v>3</v>
      </c>
      <c r="X15">
        <v>3</v>
      </c>
      <c r="Y15">
        <v>3</v>
      </c>
      <c r="Z15">
        <v>3</v>
      </c>
      <c r="AA15" t="s">
        <v>41</v>
      </c>
      <c r="AB15" t="s">
        <v>41</v>
      </c>
      <c r="AC15" t="s">
        <v>41</v>
      </c>
      <c r="AD15" t="s">
        <v>41</v>
      </c>
      <c r="AE15">
        <v>5</v>
      </c>
      <c r="AF15">
        <v>5</v>
      </c>
      <c r="AG15" t="s">
        <v>41</v>
      </c>
      <c r="AH15" t="s">
        <v>41</v>
      </c>
      <c r="AI15" t="s">
        <v>41</v>
      </c>
      <c r="AJ15" t="s">
        <v>41</v>
      </c>
      <c r="AK15" t="s">
        <v>41</v>
      </c>
      <c r="AL15" t="s">
        <v>41</v>
      </c>
      <c r="AM15" t="s">
        <v>41</v>
      </c>
      <c r="AN15" t="s">
        <v>41</v>
      </c>
      <c r="AO15" t="s">
        <v>41</v>
      </c>
      <c r="AP15" t="s">
        <v>41</v>
      </c>
      <c r="AQ15" t="s">
        <v>41</v>
      </c>
      <c r="AR15" s="220" t="s">
        <v>41</v>
      </c>
      <c r="AS15" t="s">
        <v>252</v>
      </c>
      <c r="AT15">
        <v>6</v>
      </c>
      <c r="AU15" s="281">
        <v>0.4</v>
      </c>
      <c r="AV15" t="s">
        <v>41</v>
      </c>
      <c r="AW15" s="8" t="s">
        <v>45</v>
      </c>
      <c r="AX15" s="6">
        <f t="shared" si="6"/>
        <v>3.5</v>
      </c>
      <c r="AY15" s="9" t="str">
        <f t="shared" si="7"/>
        <v>Minors</v>
      </c>
      <c r="AZ15" s="9">
        <f t="shared" si="8"/>
        <v>4.5</v>
      </c>
      <c r="BA15" s="9" t="str">
        <f t="shared" si="9"/>
        <v>Bench</v>
      </c>
      <c r="BB15" s="9">
        <f t="shared" si="10"/>
        <v>4.5</v>
      </c>
      <c r="BC15" s="9" t="str">
        <f t="shared" si="11"/>
        <v>Bench</v>
      </c>
      <c r="BD15" s="84">
        <f t="shared" si="12"/>
        <v>4</v>
      </c>
      <c r="BE15" s="83">
        <f t="shared" si="13"/>
        <v>1</v>
      </c>
      <c r="BF15" t="str">
        <f t="shared" si="14"/>
        <v/>
      </c>
      <c r="BG15" s="91" t="e">
        <f>IF(O15="-","-",VLOOKUP($E15,CTPit!$E$10:$AW$75,BG$9,FALSE)-O15)</f>
        <v>#N/A</v>
      </c>
      <c r="BH15" s="91" t="e">
        <f>IF(P15="-","-",VLOOKUP($E15,CTPit!$E$10:$AW$75,BH$9,FALSE)-P15)</f>
        <v>#N/A</v>
      </c>
      <c r="BI15" s="91" t="e">
        <f>IF(Q15="-","-",VLOOKUP($E15,CTPit!$E$10:$AW$75,BI$9,FALSE)-Q15)</f>
        <v>#N/A</v>
      </c>
      <c r="BJ15" s="91" t="e">
        <f>IF(R15="-","-",VLOOKUP($E15,CTPit!$E$10:$AW$75,BJ$9,FALSE)-R15)</f>
        <v>#N/A</v>
      </c>
      <c r="BK15" s="91" t="e">
        <f>IF(S15="-","-",VLOOKUP($E15,CTPit!$E$10:$AW$75,BK$9,FALSE)-S15)</f>
        <v>#N/A</v>
      </c>
      <c r="BL15" s="91" t="e">
        <f>IF(T15="-","-",VLOOKUP($E15,CTPit!$E$10:$AW$75,BL$9,FALSE)-T15)</f>
        <v>#N/A</v>
      </c>
      <c r="BM15" s="91" t="e">
        <f>IF(U15="-","-",VLOOKUP($E15,CTPit!$E$10:$AW$75,BM$9,FALSE)-U15)</f>
        <v>#N/A</v>
      </c>
      <c r="BN15" s="91" t="e">
        <f>IF(V15="-","-",VLOOKUP($E15,CTPit!$E$10:$AW$75,BN$9,FALSE)-V15)</f>
        <v>#N/A</v>
      </c>
      <c r="BO15" s="91" t="e">
        <f>IF(W15="-","-",VLOOKUP($E15,CTPit!$E$10:$AW$75,BO$9,FALSE)-W15)</f>
        <v>#N/A</v>
      </c>
      <c r="BP15" s="91" t="e">
        <f>IF(X15="-","-",VLOOKUP($E15,CTPit!$E$10:$AW$75,BP$9,FALSE)-X15)</f>
        <v>#N/A</v>
      </c>
      <c r="BQ15" s="91" t="e">
        <f>IF(Y15="-","-",VLOOKUP($E15,CTPit!$E$10:$AW$75,BQ$9,FALSE)-Y15)</f>
        <v>#N/A</v>
      </c>
      <c r="BR15" s="91" t="e">
        <f>IF(Z15="-","-",VLOOKUP($E15,CTPit!$E$10:$AW$75,BR$9,FALSE)-Z15)</f>
        <v>#N/A</v>
      </c>
      <c r="BS15" s="91" t="str">
        <f>IF(AA15="-","-",VLOOKUP($E15,CTPit!$E$10:$AW$75,BS$9,FALSE)-AA15)</f>
        <v>-</v>
      </c>
      <c r="BT15" s="91" t="str">
        <f>IF(AB15="-","-",VLOOKUP($E15,CTPit!$E$10:$AW$75,BT$9,FALSE)-AB15)</f>
        <v>-</v>
      </c>
      <c r="BU15" s="91" t="str">
        <f>IF(AC15="-","-",VLOOKUP($E15,CTPit!$E$10:$AW$75,BU$9,FALSE)-AC15)</f>
        <v>-</v>
      </c>
      <c r="BV15" s="91" t="str">
        <f>IF(AD15="-","-",VLOOKUP($E15,CTPit!$E$10:$AW$75,BV$9,FALSE)-AD15)</f>
        <v>-</v>
      </c>
      <c r="BW15" s="91" t="e">
        <f>IF(AE15="-","-",VLOOKUP($E15,CTPit!$E$10:$AW$75,BW$9,FALSE)-AE15)</f>
        <v>#N/A</v>
      </c>
      <c r="BX15" s="91" t="e">
        <f>IF(AF15="-","-",VLOOKUP($E15,CTPit!$E$10:$AW$75,BX$9,FALSE)-AF15)</f>
        <v>#N/A</v>
      </c>
      <c r="BY15" s="91" t="str">
        <f>IF(AG15="-","-",VLOOKUP($E15,CTPit!$E$10:$AW$75,BY$9,FALSE)-AG15)</f>
        <v>-</v>
      </c>
      <c r="BZ15" s="91" t="str">
        <f>IF(AH15="-","-",VLOOKUP($E15,CTPit!$E$10:$AW$75,BZ$9,FALSE)-AH15)</f>
        <v>-</v>
      </c>
      <c r="CA15" s="91" t="str">
        <f>IF(AI15="-","-",VLOOKUP($E15,CTPit!$E$10:$AW$75,CA$9,FALSE)-AI15)</f>
        <v>-</v>
      </c>
      <c r="CB15" s="91" t="str">
        <f>IF(AJ15="-","-",VLOOKUP($E15,CTPit!$E$10:$AW$75,CB$9,FALSE)-AJ15)</f>
        <v>-</v>
      </c>
      <c r="CC15" s="91" t="str">
        <f>IF(AK15="-","-",VLOOKUP($E15,CTPit!$E$10:$AW$75,CC$9,FALSE)-AK15)</f>
        <v>-</v>
      </c>
      <c r="CD15" s="91" t="str">
        <f>IF(AL15="-","-",VLOOKUP($E15,CTPit!$E$10:$AW$75,CD$9,FALSE)-AL15)</f>
        <v>-</v>
      </c>
      <c r="CE15" s="91" t="str">
        <f>IF(AM15="-","-",VLOOKUP($E15,CTPit!$E$10:$AW$75,CE$9,FALSE)-AM15)</f>
        <v>-</v>
      </c>
      <c r="CF15" s="91" t="str">
        <f>IF(AN15="-","-",VLOOKUP($E15,CTPit!$E$10:$AW$75,CF$9,FALSE)-AN15)</f>
        <v>-</v>
      </c>
      <c r="CG15" s="91" t="str">
        <f>IF(AO15="-","-",VLOOKUP($E15,CTPit!$E$10:$AW$75,CG$9,FALSE)-AO15)</f>
        <v>-</v>
      </c>
      <c r="CH15" s="91" t="str">
        <f>IF(AP15="-","-",VLOOKUP($E15,CTPit!$E$10:$AW$75,CH$9,FALSE)-AP15)</f>
        <v>-</v>
      </c>
      <c r="CI15" s="91" t="str">
        <f>IF(AQ15="-","-",VLOOKUP($E15,CTPit!$E$10:$AW$75,CI$9,FALSE)-AQ15)</f>
        <v>-</v>
      </c>
      <c r="CJ15" s="91" t="str">
        <f>IF(AR15="-","-",VLOOKUP($E15,CTPit!$E$10:$AW$75,CJ$9,FALSE)-AR15)</f>
        <v>-</v>
      </c>
      <c r="CK15" t="e">
        <f t="shared" si="15"/>
        <v>#N/A</v>
      </c>
    </row>
    <row r="16" spans="1:89">
      <c r="C16" t="str">
        <f t="shared" si="5"/>
        <v>K</v>
      </c>
      <c r="D16" t="s">
        <v>110</v>
      </c>
      <c r="E16" t="s">
        <v>459</v>
      </c>
      <c r="F16" t="s">
        <v>383</v>
      </c>
      <c r="G16" t="s">
        <v>327</v>
      </c>
      <c r="H16">
        <v>20</v>
      </c>
      <c r="I16" t="s">
        <v>106</v>
      </c>
      <c r="J16" s="220" t="s">
        <v>106</v>
      </c>
      <c r="K16" t="s">
        <v>47</v>
      </c>
      <c r="L16" t="s">
        <v>47</v>
      </c>
      <c r="M16" t="s">
        <v>232</v>
      </c>
      <c r="N16" s="220" t="s">
        <v>228</v>
      </c>
      <c r="O16">
        <v>3</v>
      </c>
      <c r="P16">
        <v>4</v>
      </c>
      <c r="Q16" s="220">
        <v>1</v>
      </c>
      <c r="R16">
        <v>3</v>
      </c>
      <c r="S16">
        <v>4</v>
      </c>
      <c r="T16" s="220">
        <v>4</v>
      </c>
      <c r="U16">
        <v>3</v>
      </c>
      <c r="V16">
        <v>3</v>
      </c>
      <c r="W16">
        <v>2</v>
      </c>
      <c r="X16">
        <v>3</v>
      </c>
      <c r="Y16" t="s">
        <v>41</v>
      </c>
      <c r="Z16" t="s">
        <v>41</v>
      </c>
      <c r="AA16">
        <v>2</v>
      </c>
      <c r="AB16">
        <v>3</v>
      </c>
      <c r="AC16" t="s">
        <v>41</v>
      </c>
      <c r="AD16" t="s">
        <v>41</v>
      </c>
      <c r="AE16">
        <v>3</v>
      </c>
      <c r="AF16">
        <v>3</v>
      </c>
      <c r="AG16" t="s">
        <v>41</v>
      </c>
      <c r="AH16" t="s">
        <v>41</v>
      </c>
      <c r="AI16">
        <v>3</v>
      </c>
      <c r="AJ16">
        <v>3</v>
      </c>
      <c r="AK16">
        <v>3</v>
      </c>
      <c r="AL16">
        <v>3</v>
      </c>
      <c r="AM16" t="s">
        <v>41</v>
      </c>
      <c r="AN16" t="s">
        <v>41</v>
      </c>
      <c r="AO16" t="s">
        <v>41</v>
      </c>
      <c r="AP16" t="s">
        <v>41</v>
      </c>
      <c r="AQ16" t="s">
        <v>41</v>
      </c>
      <c r="AR16" s="220" t="s">
        <v>41</v>
      </c>
      <c r="AS16" t="s">
        <v>7</v>
      </c>
      <c r="AT16">
        <v>5</v>
      </c>
      <c r="AU16" s="281">
        <v>0.53</v>
      </c>
      <c r="AV16" t="s">
        <v>41</v>
      </c>
      <c r="AW16" s="8" t="s">
        <v>45</v>
      </c>
      <c r="AX16" s="6">
        <f t="shared" si="6"/>
        <v>3.4166666666666665</v>
      </c>
      <c r="AY16" s="9" t="str">
        <f t="shared" si="7"/>
        <v>Minors</v>
      </c>
      <c r="AZ16" s="9">
        <f t="shared" si="8"/>
        <v>4.4166666666666661</v>
      </c>
      <c r="BA16" s="9" t="str">
        <f t="shared" si="9"/>
        <v>Bench</v>
      </c>
      <c r="BB16" s="9">
        <f t="shared" si="10"/>
        <v>4.4166666666666661</v>
      </c>
      <c r="BC16" s="9" t="str">
        <f t="shared" si="11"/>
        <v>Bench</v>
      </c>
      <c r="BD16" s="84">
        <f t="shared" si="12"/>
        <v>6</v>
      </c>
      <c r="BE16" s="83">
        <f t="shared" si="13"/>
        <v>0</v>
      </c>
      <c r="BF16" t="str">
        <f t="shared" si="14"/>
        <v/>
      </c>
      <c r="BG16" s="91" t="e">
        <f>IF(O16="-","-",VLOOKUP($E16,CTPit!$E$10:$AW$75,BG$9,FALSE)-O16)</f>
        <v>#N/A</v>
      </c>
      <c r="BH16" s="91" t="e">
        <f>IF(P16="-","-",VLOOKUP($E16,CTPit!$E$10:$AW$75,BH$9,FALSE)-P16)</f>
        <v>#N/A</v>
      </c>
      <c r="BI16" s="91" t="e">
        <f>IF(Q16="-","-",VLOOKUP($E16,CTPit!$E$10:$AW$75,BI$9,FALSE)-Q16)</f>
        <v>#N/A</v>
      </c>
      <c r="BJ16" s="91" t="e">
        <f>IF(R16="-","-",VLOOKUP($E16,CTPit!$E$10:$AW$75,BJ$9,FALSE)-R16)</f>
        <v>#N/A</v>
      </c>
      <c r="BK16" s="91" t="e">
        <f>IF(S16="-","-",VLOOKUP($E16,CTPit!$E$10:$AW$75,BK$9,FALSE)-S16)</f>
        <v>#N/A</v>
      </c>
      <c r="BL16" s="91" t="e">
        <f>IF(T16="-","-",VLOOKUP($E16,CTPit!$E$10:$AW$75,BL$9,FALSE)-T16)</f>
        <v>#N/A</v>
      </c>
      <c r="BM16" s="91" t="e">
        <f>IF(U16="-","-",VLOOKUP($E16,CTPit!$E$10:$AW$75,BM$9,FALSE)-U16)</f>
        <v>#N/A</v>
      </c>
      <c r="BN16" s="91" t="e">
        <f>IF(V16="-","-",VLOOKUP($E16,CTPit!$E$10:$AW$75,BN$9,FALSE)-V16)</f>
        <v>#N/A</v>
      </c>
      <c r="BO16" s="91" t="e">
        <f>IF(W16="-","-",VLOOKUP($E16,CTPit!$E$10:$AW$75,BO$9,FALSE)-W16)</f>
        <v>#N/A</v>
      </c>
      <c r="BP16" s="91" t="e">
        <f>IF(X16="-","-",VLOOKUP($E16,CTPit!$E$10:$AW$75,BP$9,FALSE)-X16)</f>
        <v>#N/A</v>
      </c>
      <c r="BQ16" s="91" t="str">
        <f>IF(Y16="-","-",VLOOKUP($E16,CTPit!$E$10:$AW$75,BQ$9,FALSE)-Y16)</f>
        <v>-</v>
      </c>
      <c r="BR16" s="91" t="str">
        <f>IF(Z16="-","-",VLOOKUP($E16,CTPit!$E$10:$AW$75,BR$9,FALSE)-Z16)</f>
        <v>-</v>
      </c>
      <c r="BS16" s="91" t="e">
        <f>IF(AA16="-","-",VLOOKUP($E16,CTPit!$E$10:$AW$75,BS$9,FALSE)-AA16)</f>
        <v>#N/A</v>
      </c>
      <c r="BT16" s="91" t="e">
        <f>IF(AB16="-","-",VLOOKUP($E16,CTPit!$E$10:$AW$75,BT$9,FALSE)-AB16)</f>
        <v>#N/A</v>
      </c>
      <c r="BU16" s="91" t="str">
        <f>IF(AC16="-","-",VLOOKUP($E16,CTPit!$E$10:$AW$75,BU$9,FALSE)-AC16)</f>
        <v>-</v>
      </c>
      <c r="BV16" s="91" t="str">
        <f>IF(AD16="-","-",VLOOKUP($E16,CTPit!$E$10:$AW$75,BV$9,FALSE)-AD16)</f>
        <v>-</v>
      </c>
      <c r="BW16" s="91" t="e">
        <f>IF(AE16="-","-",VLOOKUP($E16,CTPit!$E$10:$AW$75,BW$9,FALSE)-AE16)</f>
        <v>#N/A</v>
      </c>
      <c r="BX16" s="91" t="e">
        <f>IF(AF16="-","-",VLOOKUP($E16,CTPit!$E$10:$AW$75,BX$9,FALSE)-AF16)</f>
        <v>#N/A</v>
      </c>
      <c r="BY16" s="91" t="str">
        <f>IF(AG16="-","-",VLOOKUP($E16,CTPit!$E$10:$AW$75,BY$9,FALSE)-AG16)</f>
        <v>-</v>
      </c>
      <c r="BZ16" s="91" t="str">
        <f>IF(AH16="-","-",VLOOKUP($E16,CTPit!$E$10:$AW$75,BZ$9,FALSE)-AH16)</f>
        <v>-</v>
      </c>
      <c r="CA16" s="91" t="e">
        <f>IF(AI16="-","-",VLOOKUP($E16,CTPit!$E$10:$AW$75,CA$9,FALSE)-AI16)</f>
        <v>#N/A</v>
      </c>
      <c r="CB16" s="91" t="e">
        <f>IF(AJ16="-","-",VLOOKUP($E16,CTPit!$E$10:$AW$75,CB$9,FALSE)-AJ16)</f>
        <v>#N/A</v>
      </c>
      <c r="CC16" s="91" t="e">
        <f>IF(AK16="-","-",VLOOKUP($E16,CTPit!$E$10:$AW$75,CC$9,FALSE)-AK16)</f>
        <v>#N/A</v>
      </c>
      <c r="CD16" s="91" t="e">
        <f>IF(AL16="-","-",VLOOKUP($E16,CTPit!$E$10:$AW$75,CD$9,FALSE)-AL16)</f>
        <v>#N/A</v>
      </c>
      <c r="CE16" s="91" t="str">
        <f>IF(AM16="-","-",VLOOKUP($E16,CTPit!$E$10:$AW$75,CE$9,FALSE)-AM16)</f>
        <v>-</v>
      </c>
      <c r="CF16" s="91" t="str">
        <f>IF(AN16="-","-",VLOOKUP($E16,CTPit!$E$10:$AW$75,CF$9,FALSE)-AN16)</f>
        <v>-</v>
      </c>
      <c r="CG16" s="91" t="str">
        <f>IF(AO16="-","-",VLOOKUP($E16,CTPit!$E$10:$AW$75,CG$9,FALSE)-AO16)</f>
        <v>-</v>
      </c>
      <c r="CH16" s="91" t="str">
        <f>IF(AP16="-","-",VLOOKUP($E16,CTPit!$E$10:$AW$75,CH$9,FALSE)-AP16)</f>
        <v>-</v>
      </c>
      <c r="CI16" s="91" t="str">
        <f>IF(AQ16="-","-",VLOOKUP($E16,CTPit!$E$10:$AW$75,CI$9,FALSE)-AQ16)</f>
        <v>-</v>
      </c>
      <c r="CJ16" s="91" t="str">
        <f>IF(AR16="-","-",VLOOKUP($E16,CTPit!$E$10:$AW$75,CJ$9,FALSE)-AR16)</f>
        <v>-</v>
      </c>
      <c r="CK16" t="e">
        <f t="shared" si="15"/>
        <v>#N/A</v>
      </c>
    </row>
    <row r="17" spans="3:89">
      <c r="C17" t="str">
        <f t="shared" si="5"/>
        <v>K</v>
      </c>
      <c r="D17" t="s">
        <v>110</v>
      </c>
      <c r="E17" t="s">
        <v>457</v>
      </c>
      <c r="F17" t="s">
        <v>383</v>
      </c>
      <c r="G17" t="s">
        <v>327</v>
      </c>
      <c r="H17">
        <v>21</v>
      </c>
      <c r="I17" t="s">
        <v>106</v>
      </c>
      <c r="J17" s="220" t="s">
        <v>106</v>
      </c>
      <c r="K17" t="s">
        <v>47</v>
      </c>
      <c r="L17" t="s">
        <v>47</v>
      </c>
      <c r="M17" t="s">
        <v>228</v>
      </c>
      <c r="N17" s="220" t="s">
        <v>228</v>
      </c>
      <c r="O17">
        <v>3</v>
      </c>
      <c r="P17">
        <v>4</v>
      </c>
      <c r="Q17" s="220">
        <v>2</v>
      </c>
      <c r="R17">
        <v>3</v>
      </c>
      <c r="S17">
        <v>5</v>
      </c>
      <c r="T17" s="220">
        <v>5</v>
      </c>
      <c r="U17">
        <v>4</v>
      </c>
      <c r="V17">
        <v>4</v>
      </c>
      <c r="W17">
        <v>2</v>
      </c>
      <c r="X17">
        <v>3</v>
      </c>
      <c r="Y17">
        <v>3</v>
      </c>
      <c r="Z17">
        <v>3</v>
      </c>
      <c r="AA17" t="s">
        <v>41</v>
      </c>
      <c r="AB17" t="s">
        <v>41</v>
      </c>
      <c r="AC17" t="s">
        <v>41</v>
      </c>
      <c r="AD17" t="s">
        <v>41</v>
      </c>
      <c r="AE17">
        <v>3</v>
      </c>
      <c r="AF17">
        <v>3</v>
      </c>
      <c r="AG17" t="s">
        <v>41</v>
      </c>
      <c r="AH17" t="s">
        <v>41</v>
      </c>
      <c r="AI17" t="s">
        <v>41</v>
      </c>
      <c r="AJ17" t="s">
        <v>41</v>
      </c>
      <c r="AK17" t="s">
        <v>41</v>
      </c>
      <c r="AL17" t="s">
        <v>41</v>
      </c>
      <c r="AM17" t="s">
        <v>41</v>
      </c>
      <c r="AN17" t="s">
        <v>41</v>
      </c>
      <c r="AO17" t="s">
        <v>41</v>
      </c>
      <c r="AP17" t="s">
        <v>41</v>
      </c>
      <c r="AQ17" t="s">
        <v>41</v>
      </c>
      <c r="AR17" s="220" t="s">
        <v>41</v>
      </c>
      <c r="AS17" t="s">
        <v>0</v>
      </c>
      <c r="AT17">
        <v>5</v>
      </c>
      <c r="AU17" s="281">
        <v>0.47</v>
      </c>
      <c r="AV17" t="s">
        <v>41</v>
      </c>
      <c r="AW17" s="8" t="s">
        <v>45</v>
      </c>
      <c r="AX17" s="6">
        <f t="shared" si="6"/>
        <v>3.25</v>
      </c>
      <c r="AY17" s="9" t="str">
        <f t="shared" si="7"/>
        <v>Minors</v>
      </c>
      <c r="AZ17" s="9">
        <f t="shared" si="8"/>
        <v>4.583333333333333</v>
      </c>
      <c r="BA17" s="9" t="str">
        <f t="shared" si="9"/>
        <v>Bench</v>
      </c>
      <c r="BB17" s="9">
        <f t="shared" si="10"/>
        <v>4.583333333333333</v>
      </c>
      <c r="BC17" s="9" t="str">
        <f t="shared" si="11"/>
        <v>Bench</v>
      </c>
      <c r="BD17" s="84">
        <f t="shared" si="12"/>
        <v>4</v>
      </c>
      <c r="BE17" s="83">
        <f t="shared" si="13"/>
        <v>0</v>
      </c>
      <c r="BF17" t="str">
        <f t="shared" si="14"/>
        <v/>
      </c>
      <c r="BG17" s="91" t="e">
        <f>IF(O17="-","-",VLOOKUP($E17,CTPit!$E$10:$AW$75,BG$9,FALSE)-O17)</f>
        <v>#N/A</v>
      </c>
      <c r="BH17" s="91" t="e">
        <f>IF(P17="-","-",VLOOKUP($E17,CTPit!$E$10:$AW$75,BH$9,FALSE)-P17)</f>
        <v>#N/A</v>
      </c>
      <c r="BI17" s="91" t="e">
        <f>IF(Q17="-","-",VLOOKUP($E17,CTPit!$E$10:$AW$75,BI$9,FALSE)-Q17)</f>
        <v>#N/A</v>
      </c>
      <c r="BJ17" s="91" t="e">
        <f>IF(R17="-","-",VLOOKUP($E17,CTPit!$E$10:$AW$75,BJ$9,FALSE)-R17)</f>
        <v>#N/A</v>
      </c>
      <c r="BK17" s="91" t="e">
        <f>IF(S17="-","-",VLOOKUP($E17,CTPit!$E$10:$AW$75,BK$9,FALSE)-S17)</f>
        <v>#N/A</v>
      </c>
      <c r="BL17" s="91" t="e">
        <f>IF(T17="-","-",VLOOKUP($E17,CTPit!$E$10:$AW$75,BL$9,FALSE)-T17)</f>
        <v>#N/A</v>
      </c>
      <c r="BM17" s="91" t="e">
        <f>IF(U17="-","-",VLOOKUP($E17,CTPit!$E$10:$AW$75,BM$9,FALSE)-U17)</f>
        <v>#N/A</v>
      </c>
      <c r="BN17" s="91" t="e">
        <f>IF(V17="-","-",VLOOKUP($E17,CTPit!$E$10:$AW$75,BN$9,FALSE)-V17)</f>
        <v>#N/A</v>
      </c>
      <c r="BO17" s="91" t="e">
        <f>IF(W17="-","-",VLOOKUP($E17,CTPit!$E$10:$AW$75,BO$9,FALSE)-W17)</f>
        <v>#N/A</v>
      </c>
      <c r="BP17" s="91" t="e">
        <f>IF(X17="-","-",VLOOKUP($E17,CTPit!$E$10:$AW$75,BP$9,FALSE)-X17)</f>
        <v>#N/A</v>
      </c>
      <c r="BQ17" s="91" t="e">
        <f>IF(Y17="-","-",VLOOKUP($E17,CTPit!$E$10:$AW$75,BQ$9,FALSE)-Y17)</f>
        <v>#N/A</v>
      </c>
      <c r="BR17" s="91" t="e">
        <f>IF(Z17="-","-",VLOOKUP($E17,CTPit!$E$10:$AW$75,BR$9,FALSE)-Z17)</f>
        <v>#N/A</v>
      </c>
      <c r="BS17" s="91" t="str">
        <f>IF(AA17="-","-",VLOOKUP($E17,CTPit!$E$10:$AW$75,BS$9,FALSE)-AA17)</f>
        <v>-</v>
      </c>
      <c r="BT17" s="91" t="str">
        <f>IF(AB17="-","-",VLOOKUP($E17,CTPit!$E$10:$AW$75,BT$9,FALSE)-AB17)</f>
        <v>-</v>
      </c>
      <c r="BU17" s="91" t="str">
        <f>IF(AC17="-","-",VLOOKUP($E17,CTPit!$E$10:$AW$75,BU$9,FALSE)-AC17)</f>
        <v>-</v>
      </c>
      <c r="BV17" s="91" t="str">
        <f>IF(AD17="-","-",VLOOKUP($E17,CTPit!$E$10:$AW$75,BV$9,FALSE)-AD17)</f>
        <v>-</v>
      </c>
      <c r="BW17" s="91" t="e">
        <f>IF(AE17="-","-",VLOOKUP($E17,CTPit!$E$10:$AW$75,BW$9,FALSE)-AE17)</f>
        <v>#N/A</v>
      </c>
      <c r="BX17" s="91" t="e">
        <f>IF(AF17="-","-",VLOOKUP($E17,CTPit!$E$10:$AW$75,BX$9,FALSE)-AF17)</f>
        <v>#N/A</v>
      </c>
      <c r="BY17" s="91" t="str">
        <f>IF(AG17="-","-",VLOOKUP($E17,CTPit!$E$10:$AW$75,BY$9,FALSE)-AG17)</f>
        <v>-</v>
      </c>
      <c r="BZ17" s="91" t="str">
        <f>IF(AH17="-","-",VLOOKUP($E17,CTPit!$E$10:$AW$75,BZ$9,FALSE)-AH17)</f>
        <v>-</v>
      </c>
      <c r="CA17" s="91" t="str">
        <f>IF(AI17="-","-",VLOOKUP($E17,CTPit!$E$10:$AW$75,CA$9,FALSE)-AI17)</f>
        <v>-</v>
      </c>
      <c r="CB17" s="91" t="str">
        <f>IF(AJ17="-","-",VLOOKUP($E17,CTPit!$E$10:$AW$75,CB$9,FALSE)-AJ17)</f>
        <v>-</v>
      </c>
      <c r="CC17" s="91" t="str">
        <f>IF(AK17="-","-",VLOOKUP($E17,CTPit!$E$10:$AW$75,CC$9,FALSE)-AK17)</f>
        <v>-</v>
      </c>
      <c r="CD17" s="91" t="str">
        <f>IF(AL17="-","-",VLOOKUP($E17,CTPit!$E$10:$AW$75,CD$9,FALSE)-AL17)</f>
        <v>-</v>
      </c>
      <c r="CE17" s="91" t="str">
        <f>IF(AM17="-","-",VLOOKUP($E17,CTPit!$E$10:$AW$75,CE$9,FALSE)-AM17)</f>
        <v>-</v>
      </c>
      <c r="CF17" s="91" t="str">
        <f>IF(AN17="-","-",VLOOKUP($E17,CTPit!$E$10:$AW$75,CF$9,FALSE)-AN17)</f>
        <v>-</v>
      </c>
      <c r="CG17" s="91" t="str">
        <f>IF(AO17="-","-",VLOOKUP($E17,CTPit!$E$10:$AW$75,CG$9,FALSE)-AO17)</f>
        <v>-</v>
      </c>
      <c r="CH17" s="91" t="str">
        <f>IF(AP17="-","-",VLOOKUP($E17,CTPit!$E$10:$AW$75,CH$9,FALSE)-AP17)</f>
        <v>-</v>
      </c>
      <c r="CI17" s="91" t="str">
        <f>IF(AQ17="-","-",VLOOKUP($E17,CTPit!$E$10:$AW$75,CI$9,FALSE)-AQ17)</f>
        <v>-</v>
      </c>
      <c r="CJ17" s="91" t="str">
        <f>IF(AR17="-","-",VLOOKUP($E17,CTPit!$E$10:$AW$75,CJ$9,FALSE)-AR17)</f>
        <v>-</v>
      </c>
      <c r="CK17" t="e">
        <f t="shared" si="15"/>
        <v>#N/A</v>
      </c>
    </row>
    <row r="18" spans="3:89">
      <c r="C18" t="str">
        <f t="shared" si="5"/>
        <v>K</v>
      </c>
      <c r="D18" t="s">
        <v>110</v>
      </c>
      <c r="E18" t="s">
        <v>471</v>
      </c>
      <c r="F18" t="s">
        <v>383</v>
      </c>
      <c r="G18" t="s">
        <v>327</v>
      </c>
      <c r="H18">
        <v>20</v>
      </c>
      <c r="I18" t="s">
        <v>106</v>
      </c>
      <c r="J18" s="220" t="s">
        <v>106</v>
      </c>
      <c r="K18" t="s">
        <v>47</v>
      </c>
      <c r="L18" t="s">
        <v>47</v>
      </c>
      <c r="M18" t="s">
        <v>229</v>
      </c>
      <c r="N18" s="220" t="s">
        <v>231</v>
      </c>
      <c r="O18">
        <v>4</v>
      </c>
      <c r="P18">
        <v>4</v>
      </c>
      <c r="Q18" s="220">
        <v>1</v>
      </c>
      <c r="R18">
        <v>5</v>
      </c>
      <c r="S18">
        <v>5</v>
      </c>
      <c r="T18" s="220">
        <v>1</v>
      </c>
      <c r="U18">
        <v>6</v>
      </c>
      <c r="V18">
        <v>6</v>
      </c>
      <c r="W18" t="s">
        <v>41</v>
      </c>
      <c r="X18" t="s">
        <v>41</v>
      </c>
      <c r="Y18">
        <v>3</v>
      </c>
      <c r="Z18">
        <v>5</v>
      </c>
      <c r="AA18" t="s">
        <v>41</v>
      </c>
      <c r="AB18" t="s">
        <v>41</v>
      </c>
      <c r="AC18" t="s">
        <v>41</v>
      </c>
      <c r="AD18" t="s">
        <v>41</v>
      </c>
      <c r="AE18" t="s">
        <v>41</v>
      </c>
      <c r="AF18" t="s">
        <v>41</v>
      </c>
      <c r="AG18" t="s">
        <v>41</v>
      </c>
      <c r="AH18" t="s">
        <v>41</v>
      </c>
      <c r="AI18" t="s">
        <v>41</v>
      </c>
      <c r="AJ18" t="s">
        <v>41</v>
      </c>
      <c r="AK18" t="s">
        <v>41</v>
      </c>
      <c r="AL18" t="s">
        <v>41</v>
      </c>
      <c r="AM18" t="s">
        <v>41</v>
      </c>
      <c r="AN18" t="s">
        <v>41</v>
      </c>
      <c r="AO18">
        <v>3</v>
      </c>
      <c r="AP18">
        <v>4</v>
      </c>
      <c r="AQ18" t="s">
        <v>41</v>
      </c>
      <c r="AR18" s="220" t="s">
        <v>41</v>
      </c>
      <c r="AS18" t="s">
        <v>252</v>
      </c>
      <c r="AT18">
        <v>7</v>
      </c>
      <c r="AU18" s="281">
        <v>0.5</v>
      </c>
      <c r="AV18" t="s">
        <v>41</v>
      </c>
      <c r="AW18" s="220" t="s">
        <v>45</v>
      </c>
      <c r="AX18" s="6">
        <f t="shared" si="6"/>
        <v>3.25</v>
      </c>
      <c r="AY18" s="9" t="str">
        <f t="shared" si="7"/>
        <v>Minors</v>
      </c>
      <c r="AZ18" s="9">
        <f t="shared" si="8"/>
        <v>3.9166666666666665</v>
      </c>
      <c r="BA18" s="9" t="str">
        <f t="shared" si="9"/>
        <v>Minors</v>
      </c>
      <c r="BB18" s="9">
        <f t="shared" si="10"/>
        <v>3.9166666666666665</v>
      </c>
      <c r="BC18" s="9" t="str">
        <f t="shared" si="11"/>
        <v>Minors</v>
      </c>
      <c r="BD18" s="84">
        <f t="shared" si="12"/>
        <v>3</v>
      </c>
      <c r="BE18" s="83">
        <f t="shared" si="13"/>
        <v>1</v>
      </c>
      <c r="BF18" t="str">
        <f t="shared" si="14"/>
        <v/>
      </c>
      <c r="BG18" s="91">
        <f>IF(O18="-","-",VLOOKUP($E18,CTPit!$E$10:$AW$75,BG$9,FALSE)-O18)</f>
        <v>0</v>
      </c>
      <c r="BH18" s="91">
        <f>IF(P18="-","-",VLOOKUP($E18,CTPit!$E$10:$AW$75,BH$9,FALSE)-P18)</f>
        <v>0</v>
      </c>
      <c r="BI18" s="91">
        <f>IF(Q18="-","-",VLOOKUP($E18,CTPit!$E$10:$AW$75,BI$9,FALSE)-Q18)</f>
        <v>0</v>
      </c>
      <c r="BJ18" s="91">
        <f>IF(R18="-","-",VLOOKUP($E18,CTPit!$E$10:$AW$75,BJ$9,FALSE)-R18)</f>
        <v>0</v>
      </c>
      <c r="BK18" s="91">
        <f>IF(S18="-","-",VLOOKUP($E18,CTPit!$E$10:$AW$75,BK$9,FALSE)-S18)</f>
        <v>0</v>
      </c>
      <c r="BL18" s="91">
        <f>IF(T18="-","-",VLOOKUP($E18,CTPit!$E$10:$AW$75,BL$9,FALSE)-T18)</f>
        <v>1</v>
      </c>
      <c r="BM18" s="91">
        <f>IF(U18="-","-",VLOOKUP($E18,CTPit!$E$10:$AW$75,BM$9,FALSE)-U18)</f>
        <v>0</v>
      </c>
      <c r="BN18" s="91">
        <f>IF(V18="-","-",VLOOKUP($E18,CTPit!$E$10:$AW$75,BN$9,FALSE)-V18)</f>
        <v>0</v>
      </c>
      <c r="BO18" s="91" t="str">
        <f>IF(W18="-","-",VLOOKUP($E18,CTPit!$E$10:$AW$75,BO$9,FALSE)-W18)</f>
        <v>-</v>
      </c>
      <c r="BP18" s="91" t="str">
        <f>IF(X18="-","-",VLOOKUP($E18,CTPit!$E$10:$AW$75,BP$9,FALSE)-X18)</f>
        <v>-</v>
      </c>
      <c r="BQ18" s="91">
        <f>IF(Y18="-","-",VLOOKUP($E18,CTPit!$E$10:$AW$75,BQ$9,FALSE)-Y18)</f>
        <v>0</v>
      </c>
      <c r="BR18" s="91">
        <f>IF(Z18="-","-",VLOOKUP($E18,CTPit!$E$10:$AW$75,BR$9,FALSE)-Z18)</f>
        <v>0</v>
      </c>
      <c r="BS18" s="91" t="str">
        <f>IF(AA18="-","-",VLOOKUP($E18,CTPit!$E$10:$AW$75,BS$9,FALSE)-AA18)</f>
        <v>-</v>
      </c>
      <c r="BT18" s="91" t="str">
        <f>IF(AB18="-","-",VLOOKUP($E18,CTPit!$E$10:$AW$75,BT$9,FALSE)-AB18)</f>
        <v>-</v>
      </c>
      <c r="BU18" s="91" t="str">
        <f>IF(AC18="-","-",VLOOKUP($E18,CTPit!$E$10:$AW$75,BU$9,FALSE)-AC18)</f>
        <v>-</v>
      </c>
      <c r="BV18" s="91" t="str">
        <f>IF(AD18="-","-",VLOOKUP($E18,CTPit!$E$10:$AW$75,BV$9,FALSE)-AD18)</f>
        <v>-</v>
      </c>
      <c r="BW18" s="91" t="str">
        <f>IF(AE18="-","-",VLOOKUP($E18,CTPit!$E$10:$AW$75,BW$9,FALSE)-AE18)</f>
        <v>-</v>
      </c>
      <c r="BX18" s="91" t="str">
        <f>IF(AF18="-","-",VLOOKUP($E18,CTPit!$E$10:$AW$75,BX$9,FALSE)-AF18)</f>
        <v>-</v>
      </c>
      <c r="BY18" s="91" t="str">
        <f>IF(AG18="-","-",VLOOKUP($E18,CTPit!$E$10:$AW$75,BY$9,FALSE)-AG18)</f>
        <v>-</v>
      </c>
      <c r="BZ18" s="91" t="str">
        <f>IF(AH18="-","-",VLOOKUP($E18,CTPit!$E$10:$AW$75,BZ$9,FALSE)-AH18)</f>
        <v>-</v>
      </c>
      <c r="CA18" s="91" t="str">
        <f>IF(AI18="-","-",VLOOKUP($E18,CTPit!$E$10:$AW$75,CA$9,FALSE)-AI18)</f>
        <v>-</v>
      </c>
      <c r="CB18" s="91" t="str">
        <f>IF(AJ18="-","-",VLOOKUP($E18,CTPit!$E$10:$AW$75,CB$9,FALSE)-AJ18)</f>
        <v>-</v>
      </c>
      <c r="CC18" s="91" t="str">
        <f>IF(AK18="-","-",VLOOKUP($E18,CTPit!$E$10:$AW$75,CC$9,FALSE)-AK18)</f>
        <v>-</v>
      </c>
      <c r="CD18" s="91" t="str">
        <f>IF(AL18="-","-",VLOOKUP($E18,CTPit!$E$10:$AW$75,CD$9,FALSE)-AL18)</f>
        <v>-</v>
      </c>
      <c r="CE18" s="91" t="str">
        <f>IF(AM18="-","-",VLOOKUP($E18,CTPit!$E$10:$AW$75,CE$9,FALSE)-AM18)</f>
        <v>-</v>
      </c>
      <c r="CF18" s="91" t="str">
        <f>IF(AN18="-","-",VLOOKUP($E18,CTPit!$E$10:$AW$75,CF$9,FALSE)-AN18)</f>
        <v>-</v>
      </c>
      <c r="CG18" s="91">
        <f>IF(AO18="-","-",VLOOKUP($E18,CTPit!$E$10:$AW$75,CG$9,FALSE)-AO18)</f>
        <v>0</v>
      </c>
      <c r="CH18" s="91">
        <f>IF(AP18="-","-",VLOOKUP($E18,CTPit!$E$10:$AW$75,CH$9,FALSE)-AP18)</f>
        <v>0</v>
      </c>
      <c r="CI18" s="91" t="str">
        <f>IF(AQ18="-","-",VLOOKUP($E18,CTPit!$E$10:$AW$75,CI$9,FALSE)-AQ18)</f>
        <v>-</v>
      </c>
      <c r="CJ18" s="91" t="str">
        <f>IF(AR18="-","-",VLOOKUP($E18,CTPit!$E$10:$AW$75,CJ$9,FALSE)-AR18)</f>
        <v>-</v>
      </c>
      <c r="CK18">
        <f t="shared" si="15"/>
        <v>1</v>
      </c>
    </row>
    <row r="19" spans="3:89">
      <c r="C19" t="str">
        <f t="shared" si="5"/>
        <v>K</v>
      </c>
      <c r="D19" t="s">
        <v>101</v>
      </c>
      <c r="E19" t="s">
        <v>496</v>
      </c>
      <c r="F19" t="s">
        <v>383</v>
      </c>
      <c r="G19" t="s">
        <v>327</v>
      </c>
      <c r="H19">
        <v>19</v>
      </c>
      <c r="I19" t="s">
        <v>107</v>
      </c>
      <c r="J19" s="220" t="s">
        <v>107</v>
      </c>
      <c r="K19" t="s">
        <v>47</v>
      </c>
      <c r="L19" t="s">
        <v>44</v>
      </c>
      <c r="M19" t="s">
        <v>231</v>
      </c>
      <c r="N19" s="220" t="s">
        <v>228</v>
      </c>
      <c r="O19">
        <v>2</v>
      </c>
      <c r="P19">
        <v>4</v>
      </c>
      <c r="Q19" s="220">
        <v>1</v>
      </c>
      <c r="R19">
        <v>3</v>
      </c>
      <c r="S19">
        <v>4</v>
      </c>
      <c r="T19" s="220">
        <v>5</v>
      </c>
      <c r="U19">
        <v>2</v>
      </c>
      <c r="V19">
        <v>3</v>
      </c>
      <c r="W19" t="s">
        <v>41</v>
      </c>
      <c r="X19" t="s">
        <v>41</v>
      </c>
      <c r="Y19" t="s">
        <v>41</v>
      </c>
      <c r="Z19" t="s">
        <v>41</v>
      </c>
      <c r="AA19">
        <v>2</v>
      </c>
      <c r="AB19">
        <v>4</v>
      </c>
      <c r="AC19" t="s">
        <v>41</v>
      </c>
      <c r="AD19" t="s">
        <v>41</v>
      </c>
      <c r="AE19" t="s">
        <v>41</v>
      </c>
      <c r="AF19" t="s">
        <v>41</v>
      </c>
      <c r="AG19" t="s">
        <v>41</v>
      </c>
      <c r="AH19" t="s">
        <v>41</v>
      </c>
      <c r="AI19" t="s">
        <v>41</v>
      </c>
      <c r="AJ19" t="s">
        <v>41</v>
      </c>
      <c r="AK19" t="s">
        <v>41</v>
      </c>
      <c r="AL19" t="s">
        <v>41</v>
      </c>
      <c r="AM19" t="s">
        <v>41</v>
      </c>
      <c r="AN19" t="s">
        <v>41</v>
      </c>
      <c r="AO19" t="s">
        <v>41</v>
      </c>
      <c r="AP19" t="s">
        <v>41</v>
      </c>
      <c r="AQ19" t="s">
        <v>41</v>
      </c>
      <c r="AR19" s="220" t="s">
        <v>41</v>
      </c>
      <c r="AS19" t="s">
        <v>431</v>
      </c>
      <c r="AT19">
        <v>8</v>
      </c>
      <c r="AU19" s="281">
        <v>0.47</v>
      </c>
      <c r="AV19" t="s">
        <v>41</v>
      </c>
      <c r="AW19" s="220">
        <v>0</v>
      </c>
      <c r="AX19" s="6">
        <f t="shared" si="6"/>
        <v>2.3333333333333335</v>
      </c>
      <c r="AY19" s="9" t="str">
        <f t="shared" si="7"/>
        <v>Minors</v>
      </c>
      <c r="AZ19" s="9">
        <f t="shared" si="8"/>
        <v>4</v>
      </c>
      <c r="BA19" s="9" t="str">
        <f t="shared" si="9"/>
        <v>Minors</v>
      </c>
      <c r="BB19" s="9">
        <f t="shared" si="10"/>
        <v>4</v>
      </c>
      <c r="BC19" s="9" t="str">
        <f t="shared" si="11"/>
        <v>Minors</v>
      </c>
      <c r="BD19" s="84">
        <f t="shared" si="12"/>
        <v>2</v>
      </c>
      <c r="BE19" s="83">
        <f t="shared" si="13"/>
        <v>0</v>
      </c>
      <c r="BF19" t="str">
        <f t="shared" si="14"/>
        <v/>
      </c>
      <c r="BG19" s="91" t="e">
        <f>IF(O19="-","-",VLOOKUP($E19,CTPit!$E$10:$AW$75,BG$9,FALSE)-O19)</f>
        <v>#N/A</v>
      </c>
      <c r="BH19" s="91" t="e">
        <f>IF(P19="-","-",VLOOKUP($E19,CTPit!$E$10:$AW$75,BH$9,FALSE)-P19)</f>
        <v>#N/A</v>
      </c>
      <c r="BI19" s="91" t="e">
        <f>IF(Q19="-","-",VLOOKUP($E19,CTPit!$E$10:$AW$75,BI$9,FALSE)-Q19)</f>
        <v>#N/A</v>
      </c>
      <c r="BJ19" s="91" t="e">
        <f>IF(R19="-","-",VLOOKUP($E19,CTPit!$E$10:$AW$75,BJ$9,FALSE)-R19)</f>
        <v>#N/A</v>
      </c>
      <c r="BK19" s="91" t="e">
        <f>IF(S19="-","-",VLOOKUP($E19,CTPit!$E$10:$AW$75,BK$9,FALSE)-S19)</f>
        <v>#N/A</v>
      </c>
      <c r="BL19" s="91" t="e">
        <f>IF(T19="-","-",VLOOKUP($E19,CTPit!$E$10:$AW$75,BL$9,FALSE)-T19)</f>
        <v>#N/A</v>
      </c>
      <c r="BM19" s="91" t="e">
        <f>IF(U19="-","-",VLOOKUP($E19,CTPit!$E$10:$AW$75,BM$9,FALSE)-U19)</f>
        <v>#N/A</v>
      </c>
      <c r="BN19" s="91" t="e">
        <f>IF(V19="-","-",VLOOKUP($E19,CTPit!$E$10:$AW$75,BN$9,FALSE)-V19)</f>
        <v>#N/A</v>
      </c>
      <c r="BO19" s="91" t="str">
        <f>IF(W19="-","-",VLOOKUP($E19,CTPit!$E$10:$AW$75,BO$9,FALSE)-W19)</f>
        <v>-</v>
      </c>
      <c r="BP19" s="91" t="str">
        <f>IF(X19="-","-",VLOOKUP($E19,CTPit!$E$10:$AW$75,BP$9,FALSE)-X19)</f>
        <v>-</v>
      </c>
      <c r="BQ19" s="91" t="str">
        <f>IF(Y19="-","-",VLOOKUP($E19,CTPit!$E$10:$AW$75,BQ$9,FALSE)-Y19)</f>
        <v>-</v>
      </c>
      <c r="BR19" s="91" t="str">
        <f>IF(Z19="-","-",VLOOKUP($E19,CTPit!$E$10:$AW$75,BR$9,FALSE)-Z19)</f>
        <v>-</v>
      </c>
      <c r="BS19" s="91" t="e">
        <f>IF(AA19="-","-",VLOOKUP($E19,CTPit!$E$10:$AW$75,BS$9,FALSE)-AA19)</f>
        <v>#N/A</v>
      </c>
      <c r="BT19" s="91" t="e">
        <f>IF(AB19="-","-",VLOOKUP($E19,CTPit!$E$10:$AW$75,BT$9,FALSE)-AB19)</f>
        <v>#N/A</v>
      </c>
      <c r="BU19" s="91" t="str">
        <f>IF(AC19="-","-",VLOOKUP($E19,CTPit!$E$10:$AW$75,BU$9,FALSE)-AC19)</f>
        <v>-</v>
      </c>
      <c r="BV19" s="91" t="str">
        <f>IF(AD19="-","-",VLOOKUP($E19,CTPit!$E$10:$AW$75,BV$9,FALSE)-AD19)</f>
        <v>-</v>
      </c>
      <c r="BW19" s="91" t="str">
        <f>IF(AE19="-","-",VLOOKUP($E19,CTPit!$E$10:$AW$75,BW$9,FALSE)-AE19)</f>
        <v>-</v>
      </c>
      <c r="BX19" s="91" t="str">
        <f>IF(AF19="-","-",VLOOKUP($E19,CTPit!$E$10:$AW$75,BX$9,FALSE)-AF19)</f>
        <v>-</v>
      </c>
      <c r="BY19" s="91" t="str">
        <f>IF(AG19="-","-",VLOOKUP($E19,CTPit!$E$10:$AW$75,BY$9,FALSE)-AG19)</f>
        <v>-</v>
      </c>
      <c r="BZ19" s="91" t="str">
        <f>IF(AH19="-","-",VLOOKUP($E19,CTPit!$E$10:$AW$75,BZ$9,FALSE)-AH19)</f>
        <v>-</v>
      </c>
      <c r="CA19" s="91" t="str">
        <f>IF(AI19="-","-",VLOOKUP($E19,CTPit!$E$10:$AW$75,CA$9,FALSE)-AI19)</f>
        <v>-</v>
      </c>
      <c r="CB19" s="91" t="str">
        <f>IF(AJ19="-","-",VLOOKUP($E19,CTPit!$E$10:$AW$75,CB$9,FALSE)-AJ19)</f>
        <v>-</v>
      </c>
      <c r="CC19" s="91" t="str">
        <f>IF(AK19="-","-",VLOOKUP($E19,CTPit!$E$10:$AW$75,CC$9,FALSE)-AK19)</f>
        <v>-</v>
      </c>
      <c r="CD19" s="91" t="str">
        <f>IF(AL19="-","-",VLOOKUP($E19,CTPit!$E$10:$AW$75,CD$9,FALSE)-AL19)</f>
        <v>-</v>
      </c>
      <c r="CE19" s="91" t="str">
        <f>IF(AM19="-","-",VLOOKUP($E19,CTPit!$E$10:$AW$75,CE$9,FALSE)-AM19)</f>
        <v>-</v>
      </c>
      <c r="CF19" s="91" t="str">
        <f>IF(AN19="-","-",VLOOKUP($E19,CTPit!$E$10:$AW$75,CF$9,FALSE)-AN19)</f>
        <v>-</v>
      </c>
      <c r="CG19" s="91" t="str">
        <f>IF(AO19="-","-",VLOOKUP($E19,CTPit!$E$10:$AW$75,CG$9,FALSE)-AO19)</f>
        <v>-</v>
      </c>
      <c r="CH19" s="91" t="str">
        <f>IF(AP19="-","-",VLOOKUP($E19,CTPit!$E$10:$AW$75,CH$9,FALSE)-AP19)</f>
        <v>-</v>
      </c>
      <c r="CI19" s="91" t="str">
        <f>IF(AQ19="-","-",VLOOKUP($E19,CTPit!$E$10:$AW$75,CI$9,FALSE)-AQ19)</f>
        <v>-</v>
      </c>
      <c r="CJ19" s="91" t="str">
        <f>IF(AR19="-","-",VLOOKUP($E19,CTPit!$E$10:$AW$75,CJ$9,FALSE)-AR19)</f>
        <v>-</v>
      </c>
      <c r="CK19" t="e">
        <f t="shared" si="15"/>
        <v>#N/A</v>
      </c>
    </row>
    <row r="20" spans="3:89">
      <c r="C20" t="str">
        <f t="shared" si="5"/>
        <v>K</v>
      </c>
      <c r="D20" t="s">
        <v>110</v>
      </c>
      <c r="E20" t="s">
        <v>444</v>
      </c>
      <c r="F20" t="s">
        <v>385</v>
      </c>
      <c r="G20" t="s">
        <v>214</v>
      </c>
      <c r="H20">
        <v>21</v>
      </c>
      <c r="I20" t="s">
        <v>107</v>
      </c>
      <c r="J20" s="220" t="s">
        <v>107</v>
      </c>
      <c r="K20" t="s">
        <v>47</v>
      </c>
      <c r="L20" t="s">
        <v>42</v>
      </c>
      <c r="M20" t="s">
        <v>231</v>
      </c>
      <c r="N20" s="220" t="s">
        <v>231</v>
      </c>
      <c r="O20">
        <v>8</v>
      </c>
      <c r="P20">
        <v>5</v>
      </c>
      <c r="Q20" s="220">
        <v>3</v>
      </c>
      <c r="R20">
        <v>8</v>
      </c>
      <c r="S20">
        <v>5</v>
      </c>
      <c r="T20" s="220">
        <v>4</v>
      </c>
      <c r="U20">
        <v>8</v>
      </c>
      <c r="V20">
        <v>8</v>
      </c>
      <c r="W20" t="s">
        <v>41</v>
      </c>
      <c r="X20" t="s">
        <v>41</v>
      </c>
      <c r="Y20" t="s">
        <v>41</v>
      </c>
      <c r="Z20" t="s">
        <v>41</v>
      </c>
      <c r="AA20">
        <v>6</v>
      </c>
      <c r="AB20">
        <v>7</v>
      </c>
      <c r="AC20" t="s">
        <v>41</v>
      </c>
      <c r="AD20" t="s">
        <v>41</v>
      </c>
      <c r="AE20" t="s">
        <v>41</v>
      </c>
      <c r="AF20" t="s">
        <v>41</v>
      </c>
      <c r="AG20" t="s">
        <v>41</v>
      </c>
      <c r="AH20" t="s">
        <v>41</v>
      </c>
      <c r="AI20" t="s">
        <v>41</v>
      </c>
      <c r="AJ20" t="s">
        <v>41</v>
      </c>
      <c r="AK20" t="s">
        <v>41</v>
      </c>
      <c r="AL20" t="s">
        <v>41</v>
      </c>
      <c r="AM20" t="s">
        <v>41</v>
      </c>
      <c r="AN20" t="s">
        <v>41</v>
      </c>
      <c r="AO20" t="s">
        <v>41</v>
      </c>
      <c r="AP20" t="s">
        <v>41</v>
      </c>
      <c r="AQ20" t="s">
        <v>41</v>
      </c>
      <c r="AR20" s="220" t="s">
        <v>41</v>
      </c>
      <c r="AS20" t="s">
        <v>14</v>
      </c>
      <c r="AT20">
        <v>2</v>
      </c>
      <c r="AU20" s="11">
        <v>0.4</v>
      </c>
      <c r="AV20" s="85" t="s">
        <v>41</v>
      </c>
      <c r="AW20" s="220">
        <v>0</v>
      </c>
      <c r="AX20" s="6">
        <f t="shared" si="6"/>
        <v>5.583333333333333</v>
      </c>
      <c r="AY20" s="9" t="str">
        <f t="shared" si="7"/>
        <v>Reg</v>
      </c>
      <c r="AZ20" s="9">
        <f t="shared" si="8"/>
        <v>5.916666666666667</v>
      </c>
      <c r="BA20" s="9" t="str">
        <f t="shared" si="9"/>
        <v>Reg</v>
      </c>
      <c r="BB20" s="9">
        <f t="shared" si="10"/>
        <v>5.916666666666667</v>
      </c>
      <c r="BC20" s="9" t="str">
        <f t="shared" si="11"/>
        <v>Reg</v>
      </c>
      <c r="BD20" s="84">
        <f t="shared" si="12"/>
        <v>2</v>
      </c>
      <c r="BE20" s="83">
        <f t="shared" si="13"/>
        <v>2</v>
      </c>
      <c r="BF20" t="str">
        <f t="shared" si="14"/>
        <v/>
      </c>
      <c r="BG20" s="91">
        <f>IF(O20="-","-",VLOOKUP($E20,CTPit!$E$10:$AW$75,BG$9,FALSE)-O20)</f>
        <v>1</v>
      </c>
      <c r="BH20" s="91">
        <f>IF(P20="-","-",VLOOKUP($E20,CTPit!$E$10:$AW$75,BH$9,FALSE)-P20)</f>
        <v>1</v>
      </c>
      <c r="BI20" s="91">
        <f>IF(Q20="-","-",VLOOKUP($E20,CTPit!$E$10:$AW$75,BI$9,FALSE)-Q20)</f>
        <v>0</v>
      </c>
      <c r="BJ20" s="91">
        <f>IF(R20="-","-",VLOOKUP($E20,CTPit!$E$10:$AW$75,BJ$9,FALSE)-R20)</f>
        <v>1</v>
      </c>
      <c r="BK20" s="91">
        <f>IF(S20="-","-",VLOOKUP($E20,CTPit!$E$10:$AW$75,BK$9,FALSE)-S20)</f>
        <v>1</v>
      </c>
      <c r="BL20" s="91">
        <f>IF(T20="-","-",VLOOKUP($E20,CTPit!$E$10:$AW$75,BL$9,FALSE)-T20)</f>
        <v>0</v>
      </c>
      <c r="BM20" s="91">
        <f>IF(U20="-","-",VLOOKUP($E20,CTPit!$E$10:$AW$75,BM$9,FALSE)-U20)</f>
        <v>1</v>
      </c>
      <c r="BN20" s="91">
        <f>IF(V20="-","-",VLOOKUP($E20,CTPit!$E$10:$AW$75,BN$9,FALSE)-V20)</f>
        <v>1</v>
      </c>
      <c r="BO20" s="91" t="str">
        <f>IF(W20="-","-",VLOOKUP($E20,CTPit!$E$10:$AW$75,BO$9,FALSE)-W20)</f>
        <v>-</v>
      </c>
      <c r="BP20" s="91" t="str">
        <f>IF(X20="-","-",VLOOKUP($E20,CTPit!$E$10:$AW$75,BP$9,FALSE)-X20)</f>
        <v>-</v>
      </c>
      <c r="BQ20" s="91" t="str">
        <f>IF(Y20="-","-",VLOOKUP($E20,CTPit!$E$10:$AW$75,BQ$9,FALSE)-Y20)</f>
        <v>-</v>
      </c>
      <c r="BR20" s="91" t="str">
        <f>IF(Z20="-","-",VLOOKUP($E20,CTPit!$E$10:$AW$75,BR$9,FALSE)-Z20)</f>
        <v>-</v>
      </c>
      <c r="BS20" s="91">
        <f>IF(AA20="-","-",VLOOKUP($E20,CTPit!$E$10:$AW$75,BS$9,FALSE)-AA20)</f>
        <v>1</v>
      </c>
      <c r="BT20" s="91">
        <f>IF(AB20="-","-",VLOOKUP($E20,CTPit!$E$10:$AW$75,BT$9,FALSE)-AB20)</f>
        <v>0</v>
      </c>
      <c r="BU20" s="91" t="str">
        <f>IF(AC20="-","-",VLOOKUP($E20,CTPit!$E$10:$AW$75,BU$9,FALSE)-AC20)</f>
        <v>-</v>
      </c>
      <c r="BV20" s="91" t="str">
        <f>IF(AD20="-","-",VLOOKUP($E20,CTPit!$E$10:$AW$75,BV$9,FALSE)-AD20)</f>
        <v>-</v>
      </c>
      <c r="BW20" s="91" t="str">
        <f>IF(AE20="-","-",VLOOKUP($E20,CTPit!$E$10:$AW$75,BW$9,FALSE)-AE20)</f>
        <v>-</v>
      </c>
      <c r="BX20" s="91" t="str">
        <f>IF(AF20="-","-",VLOOKUP($E20,CTPit!$E$10:$AW$75,BX$9,FALSE)-AF20)</f>
        <v>-</v>
      </c>
      <c r="BY20" s="91" t="str">
        <f>IF(AG20="-","-",VLOOKUP($E20,CTPit!$E$10:$AW$75,BY$9,FALSE)-AG20)</f>
        <v>-</v>
      </c>
      <c r="BZ20" s="91" t="str">
        <f>IF(AH20="-","-",VLOOKUP($E20,CTPit!$E$10:$AW$75,BZ$9,FALSE)-AH20)</f>
        <v>-</v>
      </c>
      <c r="CA20" s="91" t="str">
        <f>IF(AI20="-","-",VLOOKUP($E20,CTPit!$E$10:$AW$75,CA$9,FALSE)-AI20)</f>
        <v>-</v>
      </c>
      <c r="CB20" s="91" t="str">
        <f>IF(AJ20="-","-",VLOOKUP($E20,CTPit!$E$10:$AW$75,CB$9,FALSE)-AJ20)</f>
        <v>-</v>
      </c>
      <c r="CC20" s="91" t="str">
        <f>IF(AK20="-","-",VLOOKUP($E20,CTPit!$E$10:$AW$75,CC$9,FALSE)-AK20)</f>
        <v>-</v>
      </c>
      <c r="CD20" s="91" t="str">
        <f>IF(AL20="-","-",VLOOKUP($E20,CTPit!$E$10:$AW$75,CD$9,FALSE)-AL20)</f>
        <v>-</v>
      </c>
      <c r="CE20" s="91" t="str">
        <f>IF(AM20="-","-",VLOOKUP($E20,CTPit!$E$10:$AW$75,CE$9,FALSE)-AM20)</f>
        <v>-</v>
      </c>
      <c r="CF20" s="91" t="str">
        <f>IF(AN20="-","-",VLOOKUP($E20,CTPit!$E$10:$AW$75,CF$9,FALSE)-AN20)</f>
        <v>-</v>
      </c>
      <c r="CG20" s="91" t="str">
        <f>IF(AO20="-","-",VLOOKUP($E20,CTPit!$E$10:$AW$75,CG$9,FALSE)-AO20)</f>
        <v>-</v>
      </c>
      <c r="CH20" s="91" t="str">
        <f>IF(AP20="-","-",VLOOKUP($E20,CTPit!$E$10:$AW$75,CH$9,FALSE)-AP20)</f>
        <v>-</v>
      </c>
      <c r="CI20" s="91" t="str">
        <f>IF(AQ20="-","-",VLOOKUP($E20,CTPit!$E$10:$AW$75,CI$9,FALSE)-AQ20)</f>
        <v>-</v>
      </c>
      <c r="CJ20" s="91" t="str">
        <f>IF(AR20="-","-",VLOOKUP($E20,CTPit!$E$10:$AW$75,CJ$9,FALSE)-AR20)</f>
        <v>-</v>
      </c>
      <c r="CK20">
        <f t="shared" si="15"/>
        <v>7</v>
      </c>
    </row>
    <row r="21" spans="3:89">
      <c r="C21" t="str">
        <f t="shared" si="5"/>
        <v>K</v>
      </c>
      <c r="D21" t="s">
        <v>111</v>
      </c>
      <c r="E21" t="s">
        <v>225</v>
      </c>
      <c r="F21" t="s">
        <v>25</v>
      </c>
      <c r="G21" t="s">
        <v>212</v>
      </c>
      <c r="H21">
        <v>23</v>
      </c>
      <c r="I21" t="s">
        <v>107</v>
      </c>
      <c r="J21" s="220" t="s">
        <v>107</v>
      </c>
      <c r="K21" t="s">
        <v>42</v>
      </c>
      <c r="L21" t="s">
        <v>42</v>
      </c>
      <c r="M21" t="s">
        <v>228</v>
      </c>
      <c r="N21" s="220" t="s">
        <v>228</v>
      </c>
      <c r="O21">
        <v>7</v>
      </c>
      <c r="P21">
        <v>6</v>
      </c>
      <c r="Q21" s="220">
        <v>4</v>
      </c>
      <c r="R21">
        <v>7</v>
      </c>
      <c r="S21">
        <v>6</v>
      </c>
      <c r="T21" s="220">
        <v>4</v>
      </c>
      <c r="U21">
        <v>8</v>
      </c>
      <c r="V21">
        <v>8</v>
      </c>
      <c r="W21">
        <v>3</v>
      </c>
      <c r="X21">
        <v>3</v>
      </c>
      <c r="Y21" t="s">
        <v>41</v>
      </c>
      <c r="Z21" t="s">
        <v>41</v>
      </c>
      <c r="AA21">
        <v>5</v>
      </c>
      <c r="AB21">
        <v>5</v>
      </c>
      <c r="AC21">
        <v>6</v>
      </c>
      <c r="AD21">
        <v>6</v>
      </c>
      <c r="AE21" t="s">
        <v>41</v>
      </c>
      <c r="AF21" t="s">
        <v>41</v>
      </c>
      <c r="AG21" t="s">
        <v>41</v>
      </c>
      <c r="AH21" t="s">
        <v>41</v>
      </c>
      <c r="AI21" t="s">
        <v>41</v>
      </c>
      <c r="AJ21" t="s">
        <v>41</v>
      </c>
      <c r="AK21" t="s">
        <v>41</v>
      </c>
      <c r="AL21" t="s">
        <v>41</v>
      </c>
      <c r="AM21" t="s">
        <v>41</v>
      </c>
      <c r="AN21" t="s">
        <v>41</v>
      </c>
      <c r="AO21" t="s">
        <v>41</v>
      </c>
      <c r="AP21" t="s">
        <v>41</v>
      </c>
      <c r="AQ21" t="s">
        <v>41</v>
      </c>
      <c r="AR21" s="220" t="s">
        <v>41</v>
      </c>
      <c r="AS21" t="s">
        <v>419</v>
      </c>
      <c r="AT21">
        <v>9</v>
      </c>
      <c r="AU21" s="11">
        <v>0.6</v>
      </c>
      <c r="AV21" s="85" t="s">
        <v>41</v>
      </c>
      <c r="AW21" s="220">
        <v>0</v>
      </c>
      <c r="AX21" s="6">
        <f t="shared" si="6"/>
        <v>6.416666666666667</v>
      </c>
      <c r="AY21" s="9" t="str">
        <f t="shared" si="7"/>
        <v>Reg</v>
      </c>
      <c r="AZ21" s="9">
        <f t="shared" si="8"/>
        <v>6.416666666666667</v>
      </c>
      <c r="BA21" s="9" t="str">
        <f t="shared" si="9"/>
        <v>Reg</v>
      </c>
      <c r="BB21" s="9">
        <f t="shared" si="10"/>
        <v>6.416666666666667</v>
      </c>
      <c r="BC21" s="9" t="str">
        <f t="shared" si="11"/>
        <v>Reg</v>
      </c>
      <c r="BD21" s="84">
        <f t="shared" si="12"/>
        <v>4</v>
      </c>
      <c r="BE21" s="83">
        <f t="shared" si="13"/>
        <v>2</v>
      </c>
      <c r="BF21" t="str">
        <f t="shared" si="14"/>
        <v/>
      </c>
      <c r="BG21" s="91">
        <f>IF(O21="-","-",VLOOKUP($E21,CTPit!$E$10:$AW$75,BG$9,FALSE)-O21)</f>
        <v>2</v>
      </c>
      <c r="BH21" s="91">
        <f>IF(P21="-","-",VLOOKUP($E21,CTPit!$E$10:$AW$75,BH$9,FALSE)-P21)</f>
        <v>0</v>
      </c>
      <c r="BI21" s="91">
        <f>IF(Q21="-","-",VLOOKUP($E21,CTPit!$E$10:$AW$75,BI$9,FALSE)-Q21)</f>
        <v>0</v>
      </c>
      <c r="BJ21" s="91">
        <f>IF(R21="-","-",VLOOKUP($E21,CTPit!$E$10:$AW$75,BJ$9,FALSE)-R21)</f>
        <v>2</v>
      </c>
      <c r="BK21" s="91">
        <f>IF(S21="-","-",VLOOKUP($E21,CTPit!$E$10:$AW$75,BK$9,FALSE)-S21)</f>
        <v>0</v>
      </c>
      <c r="BL21" s="91">
        <f>IF(T21="-","-",VLOOKUP($E21,CTPit!$E$10:$AW$75,BL$9,FALSE)-T21)</f>
        <v>0</v>
      </c>
      <c r="BM21" s="91">
        <f>IF(U21="-","-",VLOOKUP($E21,CTPit!$E$10:$AW$75,BM$9,FALSE)-U21)</f>
        <v>0</v>
      </c>
      <c r="BN21" s="91">
        <f>IF(V21="-","-",VLOOKUP($E21,CTPit!$E$10:$AW$75,BN$9,FALSE)-V21)</f>
        <v>0</v>
      </c>
      <c r="BO21" s="91">
        <f>IF(W21="-","-",VLOOKUP($E21,CTPit!$E$10:$AW$75,BO$9,FALSE)-W21)</f>
        <v>0</v>
      </c>
      <c r="BP21" s="91">
        <f>IF(X21="-","-",VLOOKUP($E21,CTPit!$E$10:$AW$75,BP$9,FALSE)-X21)</f>
        <v>0</v>
      </c>
      <c r="BQ21" s="91" t="str">
        <f>IF(Y21="-","-",VLOOKUP($E21,CTPit!$E$10:$AW$75,BQ$9,FALSE)-Y21)</f>
        <v>-</v>
      </c>
      <c r="BR21" s="91" t="str">
        <f>IF(Z21="-","-",VLOOKUP($E21,CTPit!$E$10:$AW$75,BR$9,FALSE)-Z21)</f>
        <v>-</v>
      </c>
      <c r="BS21" s="91">
        <f>IF(AA21="-","-",VLOOKUP($E21,CTPit!$E$10:$AW$75,BS$9,FALSE)-AA21)</f>
        <v>0</v>
      </c>
      <c r="BT21" s="91">
        <f>IF(AB21="-","-",VLOOKUP($E21,CTPit!$E$10:$AW$75,BT$9,FALSE)-AB21)</f>
        <v>0</v>
      </c>
      <c r="BU21" s="91">
        <f>IF(AC21="-","-",VLOOKUP($E21,CTPit!$E$10:$AW$75,BU$9,FALSE)-AC21)</f>
        <v>1</v>
      </c>
      <c r="BV21" s="91">
        <f>IF(AD21="-","-",VLOOKUP($E21,CTPit!$E$10:$AW$75,BV$9,FALSE)-AD21)</f>
        <v>1</v>
      </c>
      <c r="BW21" s="91" t="str">
        <f>IF(AE21="-","-",VLOOKUP($E21,CTPit!$E$10:$AW$75,BW$9,FALSE)-AE21)</f>
        <v>-</v>
      </c>
      <c r="BX21" s="91" t="str">
        <f>IF(AF21="-","-",VLOOKUP($E21,CTPit!$E$10:$AW$75,BX$9,FALSE)-AF21)</f>
        <v>-</v>
      </c>
      <c r="BY21" s="91" t="str">
        <f>IF(AG21="-","-",VLOOKUP($E21,CTPit!$E$10:$AW$75,BY$9,FALSE)-AG21)</f>
        <v>-</v>
      </c>
      <c r="BZ21" s="91" t="str">
        <f>IF(AH21="-","-",VLOOKUP($E21,CTPit!$E$10:$AW$75,BZ$9,FALSE)-AH21)</f>
        <v>-</v>
      </c>
      <c r="CA21" s="91" t="str">
        <f>IF(AI21="-","-",VLOOKUP($E21,CTPit!$E$10:$AW$75,CA$9,FALSE)-AI21)</f>
        <v>-</v>
      </c>
      <c r="CB21" s="91" t="str">
        <f>IF(AJ21="-","-",VLOOKUP($E21,CTPit!$E$10:$AW$75,CB$9,FALSE)-AJ21)</f>
        <v>-</v>
      </c>
      <c r="CC21" s="91" t="str">
        <f>IF(AK21="-","-",VLOOKUP($E21,CTPit!$E$10:$AW$75,CC$9,FALSE)-AK21)</f>
        <v>-</v>
      </c>
      <c r="CD21" s="91" t="str">
        <f>IF(AL21="-","-",VLOOKUP($E21,CTPit!$E$10:$AW$75,CD$9,FALSE)-AL21)</f>
        <v>-</v>
      </c>
      <c r="CE21" s="91" t="str">
        <f>IF(AM21="-","-",VLOOKUP($E21,CTPit!$E$10:$AW$75,CE$9,FALSE)-AM21)</f>
        <v>-</v>
      </c>
      <c r="CF21" s="91" t="str">
        <f>IF(AN21="-","-",VLOOKUP($E21,CTPit!$E$10:$AW$75,CF$9,FALSE)-AN21)</f>
        <v>-</v>
      </c>
      <c r="CG21" s="91" t="str">
        <f>IF(AO21="-","-",VLOOKUP($E21,CTPit!$E$10:$AW$75,CG$9,FALSE)-AO21)</f>
        <v>-</v>
      </c>
      <c r="CH21" s="91" t="str">
        <f>IF(AP21="-","-",VLOOKUP($E21,CTPit!$E$10:$AW$75,CH$9,FALSE)-AP21)</f>
        <v>-</v>
      </c>
      <c r="CI21" s="91" t="str">
        <f>IF(AQ21="-","-",VLOOKUP($E21,CTPit!$E$10:$AW$75,CI$9,FALSE)-AQ21)</f>
        <v>-</v>
      </c>
      <c r="CJ21" s="91" t="str">
        <f>IF(AR21="-","-",VLOOKUP($E21,CTPit!$E$10:$AW$75,CJ$9,FALSE)-AR21)</f>
        <v>-</v>
      </c>
      <c r="CK21">
        <f t="shared" si="15"/>
        <v>6</v>
      </c>
    </row>
    <row r="22" spans="3:89">
      <c r="C22" t="str">
        <f t="shared" si="5"/>
        <v>K</v>
      </c>
      <c r="D22" t="s">
        <v>111</v>
      </c>
      <c r="E22" t="s">
        <v>526</v>
      </c>
      <c r="F22" t="s">
        <v>25</v>
      </c>
      <c r="G22" t="s">
        <v>212</v>
      </c>
      <c r="H22">
        <v>24</v>
      </c>
      <c r="I22" t="s">
        <v>106</v>
      </c>
      <c r="J22" s="220" t="s">
        <v>107</v>
      </c>
      <c r="K22" t="s">
        <v>42</v>
      </c>
      <c r="L22" t="s">
        <v>48</v>
      </c>
      <c r="M22" t="s">
        <v>228</v>
      </c>
      <c r="N22" s="220" t="s">
        <v>228</v>
      </c>
      <c r="O22">
        <v>8</v>
      </c>
      <c r="P22">
        <v>5</v>
      </c>
      <c r="Q22" s="220">
        <v>6</v>
      </c>
      <c r="R22">
        <v>8</v>
      </c>
      <c r="S22">
        <v>5</v>
      </c>
      <c r="T22" s="220">
        <v>6</v>
      </c>
      <c r="U22">
        <v>9</v>
      </c>
      <c r="V22">
        <v>9</v>
      </c>
      <c r="W22">
        <v>8</v>
      </c>
      <c r="X22">
        <v>8</v>
      </c>
      <c r="Y22" t="s">
        <v>41</v>
      </c>
      <c r="Z22" t="s">
        <v>41</v>
      </c>
      <c r="AA22" t="s">
        <v>41</v>
      </c>
      <c r="AB22" t="s">
        <v>41</v>
      </c>
      <c r="AC22" t="s">
        <v>41</v>
      </c>
      <c r="AD22" t="s">
        <v>41</v>
      </c>
      <c r="AE22">
        <v>7</v>
      </c>
      <c r="AF22">
        <v>7</v>
      </c>
      <c r="AG22" t="s">
        <v>41</v>
      </c>
      <c r="AH22" t="s">
        <v>41</v>
      </c>
      <c r="AI22" t="s">
        <v>41</v>
      </c>
      <c r="AJ22" t="s">
        <v>41</v>
      </c>
      <c r="AK22" t="s">
        <v>41</v>
      </c>
      <c r="AL22" t="s">
        <v>41</v>
      </c>
      <c r="AM22" t="s">
        <v>41</v>
      </c>
      <c r="AN22" t="s">
        <v>41</v>
      </c>
      <c r="AO22" t="s">
        <v>41</v>
      </c>
      <c r="AP22" t="s">
        <v>41</v>
      </c>
      <c r="AQ22" t="s">
        <v>41</v>
      </c>
      <c r="AR22" s="220" t="s">
        <v>41</v>
      </c>
      <c r="AS22" t="s">
        <v>5</v>
      </c>
      <c r="AT22">
        <v>7</v>
      </c>
      <c r="AU22" s="11">
        <v>0.45</v>
      </c>
      <c r="AV22" s="85">
        <v>490000</v>
      </c>
      <c r="AW22" s="220" t="s">
        <v>45</v>
      </c>
      <c r="AX22" s="6">
        <f t="shared" si="6"/>
        <v>6.583333333333333</v>
      </c>
      <c r="AY22" s="9" t="str">
        <f t="shared" si="7"/>
        <v>GoodReg</v>
      </c>
      <c r="AZ22" s="9">
        <f t="shared" si="8"/>
        <v>6.583333333333333</v>
      </c>
      <c r="BA22" s="9" t="str">
        <f t="shared" si="9"/>
        <v>GoodReg</v>
      </c>
      <c r="BB22" s="9">
        <f t="shared" si="10"/>
        <v>6.583333333333333</v>
      </c>
      <c r="BC22" s="9" t="str">
        <f t="shared" si="11"/>
        <v>GoodReg</v>
      </c>
      <c r="BD22" s="84">
        <f t="shared" si="12"/>
        <v>3</v>
      </c>
      <c r="BE22" s="83">
        <f t="shared" si="13"/>
        <v>3</v>
      </c>
      <c r="BF22" t="str">
        <f t="shared" si="14"/>
        <v/>
      </c>
      <c r="BG22" s="91">
        <f>IF(O22="-","-",VLOOKUP($E22,CTPit!$E$10:$AW$75,BG$9,FALSE)-O22)</f>
        <v>0</v>
      </c>
      <c r="BH22" s="91">
        <f>IF(P22="-","-",VLOOKUP($E22,CTPit!$E$10:$AW$75,BH$9,FALSE)-P22)</f>
        <v>1</v>
      </c>
      <c r="BI22" s="91">
        <f>IF(Q22="-","-",VLOOKUP($E22,CTPit!$E$10:$AW$75,BI$9,FALSE)-Q22)</f>
        <v>0</v>
      </c>
      <c r="BJ22" s="91">
        <f>IF(R22="-","-",VLOOKUP($E22,CTPit!$E$10:$AW$75,BJ$9,FALSE)-R22)</f>
        <v>0</v>
      </c>
      <c r="BK22" s="91">
        <f>IF(S22="-","-",VLOOKUP($E22,CTPit!$E$10:$AW$75,BK$9,FALSE)-S22)</f>
        <v>1</v>
      </c>
      <c r="BL22" s="91">
        <f>IF(T22="-","-",VLOOKUP($E22,CTPit!$E$10:$AW$75,BL$9,FALSE)-T22)</f>
        <v>0</v>
      </c>
      <c r="BM22" s="91">
        <f>IF(U22="-","-",VLOOKUP($E22,CTPit!$E$10:$AW$75,BM$9,FALSE)-U22)</f>
        <v>0</v>
      </c>
      <c r="BN22" s="91">
        <f>IF(V22="-","-",VLOOKUP($E22,CTPit!$E$10:$AW$75,BN$9,FALSE)-V22)</f>
        <v>0</v>
      </c>
      <c r="BO22" s="91">
        <f>IF(W22="-","-",VLOOKUP($E22,CTPit!$E$10:$AW$75,BO$9,FALSE)-W22)</f>
        <v>0</v>
      </c>
      <c r="BP22" s="91">
        <f>IF(X22="-","-",VLOOKUP($E22,CTPit!$E$10:$AW$75,BP$9,FALSE)-X22)</f>
        <v>0</v>
      </c>
      <c r="BQ22" s="91" t="str">
        <f>IF(Y22="-","-",VLOOKUP($E22,CTPit!$E$10:$AW$75,BQ$9,FALSE)-Y22)</f>
        <v>-</v>
      </c>
      <c r="BR22" s="91" t="str">
        <f>IF(Z22="-","-",VLOOKUP($E22,CTPit!$E$10:$AW$75,BR$9,FALSE)-Z22)</f>
        <v>-</v>
      </c>
      <c r="BS22" s="91" t="str">
        <f>IF(AA22="-","-",VLOOKUP($E22,CTPit!$E$10:$AW$75,BS$9,FALSE)-AA22)</f>
        <v>-</v>
      </c>
      <c r="BT22" s="91" t="str">
        <f>IF(AB22="-","-",VLOOKUP($E22,CTPit!$E$10:$AW$75,BT$9,FALSE)-AB22)</f>
        <v>-</v>
      </c>
      <c r="BU22" s="91" t="str">
        <f>IF(AC22="-","-",VLOOKUP($E22,CTPit!$E$10:$AW$75,BU$9,FALSE)-AC22)</f>
        <v>-</v>
      </c>
      <c r="BV22" s="91" t="str">
        <f>IF(AD22="-","-",VLOOKUP($E22,CTPit!$E$10:$AW$75,BV$9,FALSE)-AD22)</f>
        <v>-</v>
      </c>
      <c r="BW22" s="91">
        <f>IF(AE22="-","-",VLOOKUP($E22,CTPit!$E$10:$AW$75,BW$9,FALSE)-AE22)</f>
        <v>0</v>
      </c>
      <c r="BX22" s="91">
        <f>IF(AF22="-","-",VLOOKUP($E22,CTPit!$E$10:$AW$75,BX$9,FALSE)-AF22)</f>
        <v>0</v>
      </c>
      <c r="BY22" s="91" t="str">
        <f>IF(AG22="-","-",VLOOKUP($E22,CTPit!$E$10:$AW$75,BY$9,FALSE)-AG22)</f>
        <v>-</v>
      </c>
      <c r="BZ22" s="91" t="str">
        <f>IF(AH22="-","-",VLOOKUP($E22,CTPit!$E$10:$AW$75,BZ$9,FALSE)-AH22)</f>
        <v>-</v>
      </c>
      <c r="CA22" s="91" t="str">
        <f>IF(AI22="-","-",VLOOKUP($E22,CTPit!$E$10:$AW$75,CA$9,FALSE)-AI22)</f>
        <v>-</v>
      </c>
      <c r="CB22" s="91" t="str">
        <f>IF(AJ22="-","-",VLOOKUP($E22,CTPit!$E$10:$AW$75,CB$9,FALSE)-AJ22)</f>
        <v>-</v>
      </c>
      <c r="CC22" s="91" t="str">
        <f>IF(AK22="-","-",VLOOKUP($E22,CTPit!$E$10:$AW$75,CC$9,FALSE)-AK22)</f>
        <v>-</v>
      </c>
      <c r="CD22" s="91" t="str">
        <f>IF(AL22="-","-",VLOOKUP($E22,CTPit!$E$10:$AW$75,CD$9,FALSE)-AL22)</f>
        <v>-</v>
      </c>
      <c r="CE22" s="91" t="str">
        <f>IF(AM22="-","-",VLOOKUP($E22,CTPit!$E$10:$AW$75,CE$9,FALSE)-AM22)</f>
        <v>-</v>
      </c>
      <c r="CF22" s="91" t="str">
        <f>IF(AN22="-","-",VLOOKUP($E22,CTPit!$E$10:$AW$75,CF$9,FALSE)-AN22)</f>
        <v>-</v>
      </c>
      <c r="CG22" s="91" t="str">
        <f>IF(AO22="-","-",VLOOKUP($E22,CTPit!$E$10:$AW$75,CG$9,FALSE)-AO22)</f>
        <v>-</v>
      </c>
      <c r="CH22" s="91" t="str">
        <f>IF(AP22="-","-",VLOOKUP($E22,CTPit!$E$10:$AW$75,CH$9,FALSE)-AP22)</f>
        <v>-</v>
      </c>
      <c r="CI22" s="91" t="str">
        <f>IF(AQ22="-","-",VLOOKUP($E22,CTPit!$E$10:$AW$75,CI$9,FALSE)-AQ22)</f>
        <v>-</v>
      </c>
      <c r="CJ22" s="91" t="str">
        <f>IF(AR22="-","-",VLOOKUP($E22,CTPit!$E$10:$AW$75,CJ$9,FALSE)-AR22)</f>
        <v>-</v>
      </c>
      <c r="CK22">
        <f t="shared" si="15"/>
        <v>2</v>
      </c>
    </row>
    <row r="23" spans="3:89">
      <c r="C23" t="str">
        <f t="shared" si="5"/>
        <v>K</v>
      </c>
      <c r="D23" t="s">
        <v>111</v>
      </c>
      <c r="E23" t="s">
        <v>524</v>
      </c>
      <c r="F23" t="s">
        <v>25</v>
      </c>
      <c r="G23" t="s">
        <v>212</v>
      </c>
      <c r="H23">
        <v>28</v>
      </c>
      <c r="I23" t="s">
        <v>107</v>
      </c>
      <c r="J23" s="220" t="s">
        <v>107</v>
      </c>
      <c r="K23" t="s">
        <v>42</v>
      </c>
      <c r="L23" t="s">
        <v>48</v>
      </c>
      <c r="M23" t="s">
        <v>229</v>
      </c>
      <c r="N23" s="220" t="s">
        <v>228</v>
      </c>
      <c r="O23">
        <v>7</v>
      </c>
      <c r="P23">
        <v>6</v>
      </c>
      <c r="Q23" s="220">
        <v>5</v>
      </c>
      <c r="R23">
        <v>7</v>
      </c>
      <c r="S23">
        <v>6</v>
      </c>
      <c r="T23" s="220">
        <v>6</v>
      </c>
      <c r="U23">
        <v>6</v>
      </c>
      <c r="V23">
        <v>6</v>
      </c>
      <c r="W23">
        <v>9</v>
      </c>
      <c r="X23">
        <v>9</v>
      </c>
      <c r="Y23" t="s">
        <v>41</v>
      </c>
      <c r="Z23" t="s">
        <v>41</v>
      </c>
      <c r="AA23">
        <v>6</v>
      </c>
      <c r="AB23">
        <v>6</v>
      </c>
      <c r="AC23" t="s">
        <v>41</v>
      </c>
      <c r="AD23" t="s">
        <v>41</v>
      </c>
      <c r="AE23" t="s">
        <v>41</v>
      </c>
      <c r="AF23" t="s">
        <v>41</v>
      </c>
      <c r="AG23" t="s">
        <v>41</v>
      </c>
      <c r="AH23" t="s">
        <v>41</v>
      </c>
      <c r="AI23" t="s">
        <v>41</v>
      </c>
      <c r="AJ23" t="s">
        <v>41</v>
      </c>
      <c r="AK23" t="s">
        <v>41</v>
      </c>
      <c r="AL23" t="s">
        <v>41</v>
      </c>
      <c r="AM23" t="s">
        <v>41</v>
      </c>
      <c r="AN23" t="s">
        <v>41</v>
      </c>
      <c r="AO23" t="s">
        <v>41</v>
      </c>
      <c r="AP23" t="s">
        <v>41</v>
      </c>
      <c r="AQ23" t="s">
        <v>41</v>
      </c>
      <c r="AR23" s="220" t="s">
        <v>41</v>
      </c>
      <c r="AS23" t="s">
        <v>3</v>
      </c>
      <c r="AT23">
        <v>5</v>
      </c>
      <c r="AU23" s="11">
        <v>0.6</v>
      </c>
      <c r="AV23" s="85">
        <v>490000</v>
      </c>
      <c r="AW23" s="220" t="s">
        <v>45</v>
      </c>
      <c r="AX23" s="6">
        <f t="shared" si="6"/>
        <v>6.5</v>
      </c>
      <c r="AY23" s="9" t="str">
        <f t="shared" si="7"/>
        <v>Reg</v>
      </c>
      <c r="AZ23" s="9">
        <f t="shared" si="8"/>
        <v>6.833333333333333</v>
      </c>
      <c r="BA23" s="9" t="str">
        <f t="shared" si="9"/>
        <v>GoodReg</v>
      </c>
      <c r="BB23" s="9">
        <f t="shared" si="10"/>
        <v>6.833333333333333</v>
      </c>
      <c r="BC23" s="9" t="str">
        <f t="shared" si="11"/>
        <v>GoodReg</v>
      </c>
      <c r="BD23" s="84">
        <f t="shared" si="12"/>
        <v>3</v>
      </c>
      <c r="BE23" s="83">
        <f t="shared" si="13"/>
        <v>3</v>
      </c>
      <c r="BF23" t="str">
        <f t="shared" si="14"/>
        <v/>
      </c>
      <c r="BG23" s="91">
        <f>IF(O23="-","-",VLOOKUP($E23,CTPit!$E$10:$AW$75,BG$9,FALSE)-O23)</f>
        <v>0</v>
      </c>
      <c r="BH23" s="91">
        <f>IF(P23="-","-",VLOOKUP($E23,CTPit!$E$10:$AW$75,BH$9,FALSE)-P23)</f>
        <v>0</v>
      </c>
      <c r="BI23" s="91">
        <f>IF(Q23="-","-",VLOOKUP($E23,CTPit!$E$10:$AW$75,BI$9,FALSE)-Q23)</f>
        <v>0</v>
      </c>
      <c r="BJ23" s="91">
        <f>IF(R23="-","-",VLOOKUP($E23,CTPit!$E$10:$AW$75,BJ$9,FALSE)-R23)</f>
        <v>0</v>
      </c>
      <c r="BK23" s="91">
        <f>IF(S23="-","-",VLOOKUP($E23,CTPit!$E$10:$AW$75,BK$9,FALSE)-S23)</f>
        <v>0</v>
      </c>
      <c r="BL23" s="91">
        <f>IF(T23="-","-",VLOOKUP($E23,CTPit!$E$10:$AW$75,BL$9,FALSE)-T23)</f>
        <v>0</v>
      </c>
      <c r="BM23" s="91">
        <f>IF(U23="-","-",VLOOKUP($E23,CTPit!$E$10:$AW$75,BM$9,FALSE)-U23)</f>
        <v>0</v>
      </c>
      <c r="BN23" s="91">
        <f>IF(V23="-","-",VLOOKUP($E23,CTPit!$E$10:$AW$75,BN$9,FALSE)-V23)</f>
        <v>0</v>
      </c>
      <c r="BO23" s="91">
        <f>IF(W23="-","-",VLOOKUP($E23,CTPit!$E$10:$AW$75,BO$9,FALSE)-W23)</f>
        <v>1</v>
      </c>
      <c r="BP23" s="91">
        <f>IF(X23="-","-",VLOOKUP($E23,CTPit!$E$10:$AW$75,BP$9,FALSE)-X23)</f>
        <v>1</v>
      </c>
      <c r="BQ23" s="91" t="str">
        <f>IF(Y23="-","-",VLOOKUP($E23,CTPit!$E$10:$AW$75,BQ$9,FALSE)-Y23)</f>
        <v>-</v>
      </c>
      <c r="BR23" s="91" t="str">
        <f>IF(Z23="-","-",VLOOKUP($E23,CTPit!$E$10:$AW$75,BR$9,FALSE)-Z23)</f>
        <v>-</v>
      </c>
      <c r="BS23" s="91">
        <f>IF(AA23="-","-",VLOOKUP($E23,CTPit!$E$10:$AW$75,BS$9,FALSE)-AA23)</f>
        <v>0</v>
      </c>
      <c r="BT23" s="91">
        <f>IF(AB23="-","-",VLOOKUP($E23,CTPit!$E$10:$AW$75,BT$9,FALSE)-AB23)</f>
        <v>0</v>
      </c>
      <c r="BU23" s="91" t="str">
        <f>IF(AC23="-","-",VLOOKUP($E23,CTPit!$E$10:$AW$75,BU$9,FALSE)-AC23)</f>
        <v>-</v>
      </c>
      <c r="BV23" s="91" t="str">
        <f>IF(AD23="-","-",VLOOKUP($E23,CTPit!$E$10:$AW$75,BV$9,FALSE)-AD23)</f>
        <v>-</v>
      </c>
      <c r="BW23" s="91" t="str">
        <f>IF(AE23="-","-",VLOOKUP($E23,CTPit!$E$10:$AW$75,BW$9,FALSE)-AE23)</f>
        <v>-</v>
      </c>
      <c r="BX23" s="91" t="str">
        <f>IF(AF23="-","-",VLOOKUP($E23,CTPit!$E$10:$AW$75,BX$9,FALSE)-AF23)</f>
        <v>-</v>
      </c>
      <c r="BY23" s="91" t="str">
        <f>IF(AG23="-","-",VLOOKUP($E23,CTPit!$E$10:$AW$75,BY$9,FALSE)-AG23)</f>
        <v>-</v>
      </c>
      <c r="BZ23" s="91" t="str">
        <f>IF(AH23="-","-",VLOOKUP($E23,CTPit!$E$10:$AW$75,BZ$9,FALSE)-AH23)</f>
        <v>-</v>
      </c>
      <c r="CA23" s="91" t="str">
        <f>IF(AI23="-","-",VLOOKUP($E23,CTPit!$E$10:$AW$75,CA$9,FALSE)-AI23)</f>
        <v>-</v>
      </c>
      <c r="CB23" s="91" t="str">
        <f>IF(AJ23="-","-",VLOOKUP($E23,CTPit!$E$10:$AW$75,CB$9,FALSE)-AJ23)</f>
        <v>-</v>
      </c>
      <c r="CC23" s="91" t="str">
        <f>IF(AK23="-","-",VLOOKUP($E23,CTPit!$E$10:$AW$75,CC$9,FALSE)-AK23)</f>
        <v>-</v>
      </c>
      <c r="CD23" s="91" t="str">
        <f>IF(AL23="-","-",VLOOKUP($E23,CTPit!$E$10:$AW$75,CD$9,FALSE)-AL23)</f>
        <v>-</v>
      </c>
      <c r="CE23" s="91" t="str">
        <f>IF(AM23="-","-",VLOOKUP($E23,CTPit!$E$10:$AW$75,CE$9,FALSE)-AM23)</f>
        <v>-</v>
      </c>
      <c r="CF23" s="91" t="str">
        <f>IF(AN23="-","-",VLOOKUP($E23,CTPit!$E$10:$AW$75,CF$9,FALSE)-AN23)</f>
        <v>-</v>
      </c>
      <c r="CG23" s="91" t="str">
        <f>IF(AO23="-","-",VLOOKUP($E23,CTPit!$E$10:$AW$75,CG$9,FALSE)-AO23)</f>
        <v>-</v>
      </c>
      <c r="CH23" s="91" t="str">
        <f>IF(AP23="-","-",VLOOKUP($E23,CTPit!$E$10:$AW$75,CH$9,FALSE)-AP23)</f>
        <v>-</v>
      </c>
      <c r="CI23" s="91" t="str">
        <f>IF(AQ23="-","-",VLOOKUP($E23,CTPit!$E$10:$AW$75,CI$9,FALSE)-AQ23)</f>
        <v>-</v>
      </c>
      <c r="CJ23" s="91" t="str">
        <f>IF(AR23="-","-",VLOOKUP($E23,CTPit!$E$10:$AW$75,CJ$9,FALSE)-AR23)</f>
        <v>-</v>
      </c>
      <c r="CK23">
        <f t="shared" si="15"/>
        <v>2</v>
      </c>
    </row>
    <row r="24" spans="3:89">
      <c r="C24" t="str">
        <f t="shared" si="5"/>
        <v>K</v>
      </c>
      <c r="D24" t="s">
        <v>111</v>
      </c>
      <c r="E24" t="s">
        <v>585</v>
      </c>
      <c r="F24" t="s">
        <v>384</v>
      </c>
      <c r="G24" t="s">
        <v>213</v>
      </c>
      <c r="H24">
        <v>27</v>
      </c>
      <c r="I24" t="s">
        <v>107</v>
      </c>
      <c r="J24" s="220" t="s">
        <v>107</v>
      </c>
      <c r="K24" t="s">
        <v>42</v>
      </c>
      <c r="L24" t="s">
        <v>42</v>
      </c>
      <c r="M24" t="s">
        <v>230</v>
      </c>
      <c r="N24" s="220" t="s">
        <v>230</v>
      </c>
      <c r="O24">
        <v>5</v>
      </c>
      <c r="P24">
        <v>7</v>
      </c>
      <c r="Q24" s="220">
        <v>4</v>
      </c>
      <c r="R24">
        <v>5</v>
      </c>
      <c r="S24">
        <v>7</v>
      </c>
      <c r="T24" s="220">
        <v>4</v>
      </c>
      <c r="U24">
        <v>6</v>
      </c>
      <c r="V24">
        <v>6</v>
      </c>
      <c r="W24">
        <v>5</v>
      </c>
      <c r="X24">
        <v>5</v>
      </c>
      <c r="Y24" t="s">
        <v>41</v>
      </c>
      <c r="Z24" t="s">
        <v>41</v>
      </c>
      <c r="AA24">
        <v>5</v>
      </c>
      <c r="AB24">
        <v>5</v>
      </c>
      <c r="AC24">
        <v>6</v>
      </c>
      <c r="AD24">
        <v>6</v>
      </c>
      <c r="AE24" t="s">
        <v>41</v>
      </c>
      <c r="AF24" t="s">
        <v>41</v>
      </c>
      <c r="AG24" t="s">
        <v>41</v>
      </c>
      <c r="AH24" t="s">
        <v>41</v>
      </c>
      <c r="AI24" t="s">
        <v>41</v>
      </c>
      <c r="AJ24" t="s">
        <v>41</v>
      </c>
      <c r="AK24" t="s">
        <v>41</v>
      </c>
      <c r="AL24" t="s">
        <v>41</v>
      </c>
      <c r="AM24" t="s">
        <v>41</v>
      </c>
      <c r="AN24" t="s">
        <v>41</v>
      </c>
      <c r="AO24" t="s">
        <v>41</v>
      </c>
      <c r="AP24" t="s">
        <v>41</v>
      </c>
      <c r="AQ24" t="s">
        <v>41</v>
      </c>
      <c r="AR24" s="220" t="s">
        <v>41</v>
      </c>
      <c r="AS24" t="s">
        <v>2</v>
      </c>
      <c r="AT24">
        <v>9</v>
      </c>
      <c r="AU24" s="11">
        <v>0.6</v>
      </c>
      <c r="AV24" s="85" t="s">
        <v>41</v>
      </c>
      <c r="AW24" s="220">
        <v>0</v>
      </c>
      <c r="AX24" s="6">
        <f t="shared" si="6"/>
        <v>6.083333333333333</v>
      </c>
      <c r="AY24" s="9" t="str">
        <f t="shared" si="7"/>
        <v>Reg</v>
      </c>
      <c r="AZ24" s="9">
        <f t="shared" si="8"/>
        <v>6.083333333333333</v>
      </c>
      <c r="BA24" s="9" t="str">
        <f t="shared" si="9"/>
        <v>Reg</v>
      </c>
      <c r="BB24" s="9">
        <f t="shared" si="10"/>
        <v>6.083333333333333</v>
      </c>
      <c r="BC24" s="9" t="str">
        <f t="shared" si="11"/>
        <v>Reg</v>
      </c>
      <c r="BD24" s="84">
        <f t="shared" si="12"/>
        <v>4</v>
      </c>
      <c r="BE24" s="83">
        <f t="shared" si="13"/>
        <v>2</v>
      </c>
      <c r="BF24" t="str">
        <f t="shared" si="14"/>
        <v/>
      </c>
      <c r="BG24" s="91">
        <f>IF(O24="-","-",VLOOKUP($E24,CTPit!$E$10:$AW$75,BG$9,FALSE)-O24)</f>
        <v>0</v>
      </c>
      <c r="BH24" s="91">
        <f>IF(P24="-","-",VLOOKUP($E24,CTPit!$E$10:$AW$75,BH$9,FALSE)-P24)</f>
        <v>0</v>
      </c>
      <c r="BI24" s="91">
        <f>IF(Q24="-","-",VLOOKUP($E24,CTPit!$E$10:$AW$75,BI$9,FALSE)-Q24)</f>
        <v>1</v>
      </c>
      <c r="BJ24" s="91">
        <f>IF(R24="-","-",VLOOKUP($E24,CTPit!$E$10:$AW$75,BJ$9,FALSE)-R24)</f>
        <v>0</v>
      </c>
      <c r="BK24" s="91">
        <f>IF(S24="-","-",VLOOKUP($E24,CTPit!$E$10:$AW$75,BK$9,FALSE)-S24)</f>
        <v>0</v>
      </c>
      <c r="BL24" s="91">
        <f>IF(T24="-","-",VLOOKUP($E24,CTPit!$E$10:$AW$75,BL$9,FALSE)-T24)</f>
        <v>1</v>
      </c>
      <c r="BM24" s="91">
        <f>IF(U24="-","-",VLOOKUP($E24,CTPit!$E$10:$AW$75,BM$9,FALSE)-U24)</f>
        <v>0</v>
      </c>
      <c r="BN24" s="91">
        <f>IF(V24="-","-",VLOOKUP($E24,CTPit!$E$10:$AW$75,BN$9,FALSE)-V24)</f>
        <v>0</v>
      </c>
      <c r="BO24" s="91">
        <f>IF(W24="-","-",VLOOKUP($E24,CTPit!$E$10:$AW$75,BO$9,FALSE)-W24)</f>
        <v>0</v>
      </c>
      <c r="BP24" s="91">
        <f>IF(X24="-","-",VLOOKUP($E24,CTPit!$E$10:$AW$75,BP$9,FALSE)-X24)</f>
        <v>0</v>
      </c>
      <c r="BQ24" s="91" t="str">
        <f>IF(Y24="-","-",VLOOKUP($E24,CTPit!$E$10:$AW$75,BQ$9,FALSE)-Y24)</f>
        <v>-</v>
      </c>
      <c r="BR24" s="91" t="str">
        <f>IF(Z24="-","-",VLOOKUP($E24,CTPit!$E$10:$AW$75,BR$9,FALSE)-Z24)</f>
        <v>-</v>
      </c>
      <c r="BS24" s="91">
        <f>IF(AA24="-","-",VLOOKUP($E24,CTPit!$E$10:$AW$75,BS$9,FALSE)-AA24)</f>
        <v>0</v>
      </c>
      <c r="BT24" s="91">
        <f>IF(AB24="-","-",VLOOKUP($E24,CTPit!$E$10:$AW$75,BT$9,FALSE)-AB24)</f>
        <v>0</v>
      </c>
      <c r="BU24" s="91">
        <f>IF(AC24="-","-",VLOOKUP($E24,CTPit!$E$10:$AW$75,BU$9,FALSE)-AC24)</f>
        <v>0</v>
      </c>
      <c r="BV24" s="91">
        <f>IF(AD24="-","-",VLOOKUP($E24,CTPit!$E$10:$AW$75,BV$9,FALSE)-AD24)</f>
        <v>0</v>
      </c>
      <c r="BW24" s="91" t="str">
        <f>IF(AE24="-","-",VLOOKUP($E24,CTPit!$E$10:$AW$75,BW$9,FALSE)-AE24)</f>
        <v>-</v>
      </c>
      <c r="BX24" s="91" t="str">
        <f>IF(AF24="-","-",VLOOKUP($E24,CTPit!$E$10:$AW$75,BX$9,FALSE)-AF24)</f>
        <v>-</v>
      </c>
      <c r="BY24" s="91" t="str">
        <f>IF(AG24="-","-",VLOOKUP($E24,CTPit!$E$10:$AW$75,BY$9,FALSE)-AG24)</f>
        <v>-</v>
      </c>
      <c r="BZ24" s="91" t="str">
        <f>IF(AH24="-","-",VLOOKUP($E24,CTPit!$E$10:$AW$75,BZ$9,FALSE)-AH24)</f>
        <v>-</v>
      </c>
      <c r="CA24" s="91" t="str">
        <f>IF(AI24="-","-",VLOOKUP($E24,CTPit!$E$10:$AW$75,CA$9,FALSE)-AI24)</f>
        <v>-</v>
      </c>
      <c r="CB24" s="91" t="str">
        <f>IF(AJ24="-","-",VLOOKUP($E24,CTPit!$E$10:$AW$75,CB$9,FALSE)-AJ24)</f>
        <v>-</v>
      </c>
      <c r="CC24" s="91" t="str">
        <f>IF(AK24="-","-",VLOOKUP($E24,CTPit!$E$10:$AW$75,CC$9,FALSE)-AK24)</f>
        <v>-</v>
      </c>
      <c r="CD24" s="91" t="str">
        <f>IF(AL24="-","-",VLOOKUP($E24,CTPit!$E$10:$AW$75,CD$9,FALSE)-AL24)</f>
        <v>-</v>
      </c>
      <c r="CE24" s="91" t="str">
        <f>IF(AM24="-","-",VLOOKUP($E24,CTPit!$E$10:$AW$75,CE$9,FALSE)-AM24)</f>
        <v>-</v>
      </c>
      <c r="CF24" s="91" t="str">
        <f>IF(AN24="-","-",VLOOKUP($E24,CTPit!$E$10:$AW$75,CF$9,FALSE)-AN24)</f>
        <v>-</v>
      </c>
      <c r="CG24" s="91" t="str">
        <f>IF(AO24="-","-",VLOOKUP($E24,CTPit!$E$10:$AW$75,CG$9,FALSE)-AO24)</f>
        <v>-</v>
      </c>
      <c r="CH24" s="91" t="str">
        <f>IF(AP24="-","-",VLOOKUP($E24,CTPit!$E$10:$AW$75,CH$9,FALSE)-AP24)</f>
        <v>-</v>
      </c>
      <c r="CI24" s="91" t="str">
        <f>IF(AQ24="-","-",VLOOKUP($E24,CTPit!$E$10:$AW$75,CI$9,FALSE)-AQ24)</f>
        <v>-</v>
      </c>
      <c r="CJ24" s="91" t="str">
        <f>IF(AR24="-","-",VLOOKUP($E24,CTPit!$E$10:$AW$75,CJ$9,FALSE)-AR24)</f>
        <v>-</v>
      </c>
      <c r="CK24">
        <f t="shared" si="15"/>
        <v>2</v>
      </c>
    </row>
    <row r="25" spans="3:89">
      <c r="C25" t="str">
        <f t="shared" si="5"/>
        <v>K</v>
      </c>
      <c r="D25" t="s">
        <v>110</v>
      </c>
      <c r="E25" t="s">
        <v>583</v>
      </c>
      <c r="F25" t="s">
        <v>385</v>
      </c>
      <c r="G25" t="s">
        <v>214</v>
      </c>
      <c r="H25">
        <v>31</v>
      </c>
      <c r="I25" t="s">
        <v>107</v>
      </c>
      <c r="J25" s="220" t="s">
        <v>106</v>
      </c>
      <c r="K25" t="s">
        <v>47</v>
      </c>
      <c r="L25" t="s">
        <v>47</v>
      </c>
      <c r="M25" t="s">
        <v>232</v>
      </c>
      <c r="N25" s="220" t="s">
        <v>229</v>
      </c>
      <c r="O25">
        <v>4</v>
      </c>
      <c r="P25">
        <v>5</v>
      </c>
      <c r="Q25" s="220">
        <v>6</v>
      </c>
      <c r="R25">
        <v>4</v>
      </c>
      <c r="S25">
        <v>5</v>
      </c>
      <c r="T25" s="220">
        <v>6</v>
      </c>
      <c r="U25">
        <v>4</v>
      </c>
      <c r="V25">
        <v>4</v>
      </c>
      <c r="W25">
        <v>4</v>
      </c>
      <c r="X25">
        <v>4</v>
      </c>
      <c r="Y25">
        <v>5</v>
      </c>
      <c r="Z25">
        <v>5</v>
      </c>
      <c r="AA25" t="s">
        <v>41</v>
      </c>
      <c r="AB25" t="s">
        <v>41</v>
      </c>
      <c r="AC25" t="s">
        <v>41</v>
      </c>
      <c r="AD25" t="s">
        <v>41</v>
      </c>
      <c r="AE25" t="s">
        <v>41</v>
      </c>
      <c r="AF25" t="s">
        <v>41</v>
      </c>
      <c r="AG25" t="s">
        <v>41</v>
      </c>
      <c r="AH25" t="s">
        <v>41</v>
      </c>
      <c r="AI25" t="s">
        <v>41</v>
      </c>
      <c r="AJ25" t="s">
        <v>41</v>
      </c>
      <c r="AK25" t="s">
        <v>41</v>
      </c>
      <c r="AL25" t="s">
        <v>41</v>
      </c>
      <c r="AM25" t="s">
        <v>41</v>
      </c>
      <c r="AN25" t="s">
        <v>41</v>
      </c>
      <c r="AO25" t="s">
        <v>41</v>
      </c>
      <c r="AP25" t="s">
        <v>41</v>
      </c>
      <c r="AQ25" t="s">
        <v>41</v>
      </c>
      <c r="AR25" s="220" t="s">
        <v>41</v>
      </c>
      <c r="AS25" t="s">
        <v>0</v>
      </c>
      <c r="AT25">
        <v>2</v>
      </c>
      <c r="AU25" s="11">
        <v>0.51</v>
      </c>
      <c r="AV25" s="85" t="s">
        <v>41</v>
      </c>
      <c r="AW25" s="220">
        <v>0</v>
      </c>
      <c r="AX25" s="6">
        <f t="shared" si="6"/>
        <v>5</v>
      </c>
      <c r="AY25" s="9" t="str">
        <f t="shared" si="7"/>
        <v>Bench</v>
      </c>
      <c r="AZ25" s="9">
        <f t="shared" si="8"/>
        <v>5</v>
      </c>
      <c r="BA25" s="9" t="str">
        <f t="shared" si="9"/>
        <v>Bench</v>
      </c>
      <c r="BB25" s="9">
        <f t="shared" si="10"/>
        <v>5</v>
      </c>
      <c r="BC25" s="9" t="str">
        <f t="shared" si="11"/>
        <v>Bench</v>
      </c>
      <c r="BD25" s="84">
        <f t="shared" si="12"/>
        <v>3</v>
      </c>
      <c r="BE25" s="83">
        <f t="shared" si="13"/>
        <v>0</v>
      </c>
      <c r="BF25" t="str">
        <f t="shared" si="14"/>
        <v/>
      </c>
      <c r="BG25" s="91">
        <f>IF(O25="-","-",VLOOKUP($E25,CTPit!$E$10:$AW$75,BG$9,FALSE)-O25)</f>
        <v>0</v>
      </c>
      <c r="BH25" s="91">
        <f>IF(P25="-","-",VLOOKUP($E25,CTPit!$E$10:$AW$75,BH$9,FALSE)-P25)</f>
        <v>0</v>
      </c>
      <c r="BI25" s="91">
        <f>IF(Q25="-","-",VLOOKUP($E25,CTPit!$E$10:$AW$75,BI$9,FALSE)-Q25)</f>
        <v>1</v>
      </c>
      <c r="BJ25" s="91">
        <f>IF(R25="-","-",VLOOKUP($E25,CTPit!$E$10:$AW$75,BJ$9,FALSE)-R25)</f>
        <v>0</v>
      </c>
      <c r="BK25" s="91">
        <f>IF(S25="-","-",VLOOKUP($E25,CTPit!$E$10:$AW$75,BK$9,FALSE)-S25)</f>
        <v>0</v>
      </c>
      <c r="BL25" s="91">
        <f>IF(T25="-","-",VLOOKUP($E25,CTPit!$E$10:$AW$75,BL$9,FALSE)-T25)</f>
        <v>1</v>
      </c>
      <c r="BM25" s="91">
        <f>IF(U25="-","-",VLOOKUP($E25,CTPit!$E$10:$AW$75,BM$9,FALSE)-U25)</f>
        <v>0</v>
      </c>
      <c r="BN25" s="91">
        <f>IF(V25="-","-",VLOOKUP($E25,CTPit!$E$10:$AW$75,BN$9,FALSE)-V25)</f>
        <v>0</v>
      </c>
      <c r="BO25" s="91">
        <f>IF(W25="-","-",VLOOKUP($E25,CTPit!$E$10:$AW$75,BO$9,FALSE)-W25)</f>
        <v>0</v>
      </c>
      <c r="BP25" s="91">
        <f>IF(X25="-","-",VLOOKUP($E25,CTPit!$E$10:$AW$75,BP$9,FALSE)-X25)</f>
        <v>0</v>
      </c>
      <c r="BQ25" s="91">
        <f>IF(Y25="-","-",VLOOKUP($E25,CTPit!$E$10:$AW$75,BQ$9,FALSE)-Y25)</f>
        <v>0</v>
      </c>
      <c r="BR25" s="91">
        <f>IF(Z25="-","-",VLOOKUP($E25,CTPit!$E$10:$AW$75,BR$9,FALSE)-Z25)</f>
        <v>0</v>
      </c>
      <c r="BS25" s="91" t="str">
        <f>IF(AA25="-","-",VLOOKUP($E25,CTPit!$E$10:$AW$75,BS$9,FALSE)-AA25)</f>
        <v>-</v>
      </c>
      <c r="BT25" s="91" t="str">
        <f>IF(AB25="-","-",VLOOKUP($E25,CTPit!$E$10:$AW$75,BT$9,FALSE)-AB25)</f>
        <v>-</v>
      </c>
      <c r="BU25" s="91" t="str">
        <f>IF(AC25="-","-",VLOOKUP($E25,CTPit!$E$10:$AW$75,BU$9,FALSE)-AC25)</f>
        <v>-</v>
      </c>
      <c r="BV25" s="91" t="str">
        <f>IF(AD25="-","-",VLOOKUP($E25,CTPit!$E$10:$AW$75,BV$9,FALSE)-AD25)</f>
        <v>-</v>
      </c>
      <c r="BW25" s="91" t="str">
        <f>IF(AE25="-","-",VLOOKUP($E25,CTPit!$E$10:$AW$75,BW$9,FALSE)-AE25)</f>
        <v>-</v>
      </c>
      <c r="BX25" s="91" t="str">
        <f>IF(AF25="-","-",VLOOKUP($E25,CTPit!$E$10:$AW$75,BX$9,FALSE)-AF25)</f>
        <v>-</v>
      </c>
      <c r="BY25" s="91" t="str">
        <f>IF(AG25="-","-",VLOOKUP($E25,CTPit!$E$10:$AW$75,BY$9,FALSE)-AG25)</f>
        <v>-</v>
      </c>
      <c r="BZ25" s="91" t="str">
        <f>IF(AH25="-","-",VLOOKUP($E25,CTPit!$E$10:$AW$75,BZ$9,FALSE)-AH25)</f>
        <v>-</v>
      </c>
      <c r="CA25" s="91" t="str">
        <f>IF(AI25="-","-",VLOOKUP($E25,CTPit!$E$10:$AW$75,CA$9,FALSE)-AI25)</f>
        <v>-</v>
      </c>
      <c r="CB25" s="91" t="str">
        <f>IF(AJ25="-","-",VLOOKUP($E25,CTPit!$E$10:$AW$75,CB$9,FALSE)-AJ25)</f>
        <v>-</v>
      </c>
      <c r="CC25" s="91" t="str">
        <f>IF(AK25="-","-",VLOOKUP($E25,CTPit!$E$10:$AW$75,CC$9,FALSE)-AK25)</f>
        <v>-</v>
      </c>
      <c r="CD25" s="91" t="str">
        <f>IF(AL25="-","-",VLOOKUP($E25,CTPit!$E$10:$AW$75,CD$9,FALSE)-AL25)</f>
        <v>-</v>
      </c>
      <c r="CE25" s="91" t="str">
        <f>IF(AM25="-","-",VLOOKUP($E25,CTPit!$E$10:$AW$75,CE$9,FALSE)-AM25)</f>
        <v>-</v>
      </c>
      <c r="CF25" s="91" t="str">
        <f>IF(AN25="-","-",VLOOKUP($E25,CTPit!$E$10:$AW$75,CF$9,FALSE)-AN25)</f>
        <v>-</v>
      </c>
      <c r="CG25" s="91" t="str">
        <f>IF(AO25="-","-",VLOOKUP($E25,CTPit!$E$10:$AW$75,CG$9,FALSE)-AO25)</f>
        <v>-</v>
      </c>
      <c r="CH25" s="91" t="str">
        <f>IF(AP25="-","-",VLOOKUP($E25,CTPit!$E$10:$AW$75,CH$9,FALSE)-AP25)</f>
        <v>-</v>
      </c>
      <c r="CI25" s="91" t="str">
        <f>IF(AQ25="-","-",VLOOKUP($E25,CTPit!$E$10:$AW$75,CI$9,FALSE)-AQ25)</f>
        <v>-</v>
      </c>
      <c r="CJ25" s="91" t="str">
        <f>IF(AR25="-","-",VLOOKUP($E25,CTPit!$E$10:$AW$75,CJ$9,FALSE)-AR25)</f>
        <v>-</v>
      </c>
      <c r="CK25">
        <f t="shared" si="15"/>
        <v>2</v>
      </c>
    </row>
    <row r="26" spans="3:89">
      <c r="C26" t="str">
        <f t="shared" si="5"/>
        <v>K</v>
      </c>
      <c r="D26" t="s">
        <v>111</v>
      </c>
      <c r="E26" t="s">
        <v>511</v>
      </c>
      <c r="F26" t="s">
        <v>386</v>
      </c>
      <c r="G26" t="s">
        <v>215</v>
      </c>
      <c r="H26">
        <v>22</v>
      </c>
      <c r="I26" t="s">
        <v>107</v>
      </c>
      <c r="J26" s="220" t="s">
        <v>107</v>
      </c>
      <c r="K26" t="s">
        <v>47</v>
      </c>
      <c r="L26" t="s">
        <v>42</v>
      </c>
      <c r="M26" t="s">
        <v>230</v>
      </c>
      <c r="N26" s="220" t="s">
        <v>230</v>
      </c>
      <c r="O26">
        <v>6</v>
      </c>
      <c r="P26">
        <v>4</v>
      </c>
      <c r="Q26" s="220">
        <v>2</v>
      </c>
      <c r="R26">
        <v>7</v>
      </c>
      <c r="S26">
        <v>4</v>
      </c>
      <c r="T26" s="220">
        <v>4</v>
      </c>
      <c r="U26">
        <v>8</v>
      </c>
      <c r="V26">
        <v>8</v>
      </c>
      <c r="W26">
        <v>4</v>
      </c>
      <c r="X26">
        <v>6</v>
      </c>
      <c r="Y26">
        <v>3</v>
      </c>
      <c r="Z26">
        <v>3</v>
      </c>
      <c r="AA26" t="s">
        <v>41</v>
      </c>
      <c r="AB26" t="s">
        <v>41</v>
      </c>
      <c r="AC26" t="s">
        <v>41</v>
      </c>
      <c r="AD26" t="s">
        <v>41</v>
      </c>
      <c r="AE26" t="s">
        <v>41</v>
      </c>
      <c r="AF26" t="s">
        <v>41</v>
      </c>
      <c r="AG26" t="s">
        <v>41</v>
      </c>
      <c r="AH26" t="s">
        <v>41</v>
      </c>
      <c r="AI26">
        <v>7</v>
      </c>
      <c r="AJ26">
        <v>7</v>
      </c>
      <c r="AK26" t="s">
        <v>41</v>
      </c>
      <c r="AL26" t="s">
        <v>41</v>
      </c>
      <c r="AM26" t="s">
        <v>41</v>
      </c>
      <c r="AN26" t="s">
        <v>41</v>
      </c>
      <c r="AO26" t="s">
        <v>41</v>
      </c>
      <c r="AP26" t="s">
        <v>41</v>
      </c>
      <c r="AQ26" t="s">
        <v>41</v>
      </c>
      <c r="AR26" s="220" t="s">
        <v>41</v>
      </c>
      <c r="AS26" t="s">
        <v>419</v>
      </c>
      <c r="AT26">
        <v>5</v>
      </c>
      <c r="AU26" s="11">
        <v>0.45</v>
      </c>
      <c r="AV26" s="85" t="s">
        <v>41</v>
      </c>
      <c r="AW26" s="220">
        <v>0</v>
      </c>
      <c r="AX26" s="6">
        <f t="shared" si="6"/>
        <v>4.5</v>
      </c>
      <c r="AY26" s="9" t="str">
        <f t="shared" si="7"/>
        <v>Bench</v>
      </c>
      <c r="AZ26" s="9">
        <f t="shared" si="8"/>
        <v>5.5</v>
      </c>
      <c r="BA26" s="9" t="str">
        <f t="shared" si="9"/>
        <v>Reg</v>
      </c>
      <c r="BB26" s="9">
        <f t="shared" si="10"/>
        <v>5.5</v>
      </c>
      <c r="BC26" s="9" t="str">
        <f t="shared" si="11"/>
        <v>Reg</v>
      </c>
      <c r="BD26" s="84">
        <f t="shared" si="12"/>
        <v>4</v>
      </c>
      <c r="BE26" s="83">
        <f t="shared" si="13"/>
        <v>2.5</v>
      </c>
      <c r="BF26" t="str">
        <f t="shared" si="14"/>
        <v/>
      </c>
      <c r="BG26" s="91">
        <f>IF(O26="-","-",VLOOKUP($E26,CTPit!$E$10:$AW$75,BG$9,FALSE)-O26)</f>
        <v>1</v>
      </c>
      <c r="BH26" s="91">
        <f>IF(P26="-","-",VLOOKUP($E26,CTPit!$E$10:$AW$75,BH$9,FALSE)-P26)</f>
        <v>0</v>
      </c>
      <c r="BI26" s="91">
        <f>IF(Q26="-","-",VLOOKUP($E26,CTPit!$E$10:$AW$75,BI$9,FALSE)-Q26)</f>
        <v>0</v>
      </c>
      <c r="BJ26" s="91">
        <f>IF(R26="-","-",VLOOKUP($E26,CTPit!$E$10:$AW$75,BJ$9,FALSE)-R26)</f>
        <v>0</v>
      </c>
      <c r="BK26" s="91">
        <f>IF(S26="-","-",VLOOKUP($E26,CTPit!$E$10:$AW$75,BK$9,FALSE)-S26)</f>
        <v>0</v>
      </c>
      <c r="BL26" s="91">
        <f>IF(T26="-","-",VLOOKUP($E26,CTPit!$E$10:$AW$75,BL$9,FALSE)-T26)</f>
        <v>0</v>
      </c>
      <c r="BM26" s="91">
        <f>IF(U26="-","-",VLOOKUP($E26,CTPit!$E$10:$AW$75,BM$9,FALSE)-U26)</f>
        <v>0</v>
      </c>
      <c r="BN26" s="91">
        <f>IF(V26="-","-",VLOOKUP($E26,CTPit!$E$10:$AW$75,BN$9,FALSE)-V26)</f>
        <v>0</v>
      </c>
      <c r="BO26" s="91">
        <f>IF(W26="-","-",VLOOKUP($E26,CTPit!$E$10:$AW$75,BO$9,FALSE)-W26)</f>
        <v>1</v>
      </c>
      <c r="BP26" s="91">
        <f>IF(X26="-","-",VLOOKUP($E26,CTPit!$E$10:$AW$75,BP$9,FALSE)-X26)</f>
        <v>0</v>
      </c>
      <c r="BQ26" s="91">
        <f>IF(Y26="-","-",VLOOKUP($E26,CTPit!$E$10:$AW$75,BQ$9,FALSE)-Y26)</f>
        <v>0</v>
      </c>
      <c r="BR26" s="91">
        <f>IF(Z26="-","-",VLOOKUP($E26,CTPit!$E$10:$AW$75,BR$9,FALSE)-Z26)</f>
        <v>0</v>
      </c>
      <c r="BS26" s="91" t="str">
        <f>IF(AA26="-","-",VLOOKUP($E26,CTPit!$E$10:$AW$75,BS$9,FALSE)-AA26)</f>
        <v>-</v>
      </c>
      <c r="BT26" s="91" t="str">
        <f>IF(AB26="-","-",VLOOKUP($E26,CTPit!$E$10:$AW$75,BT$9,FALSE)-AB26)</f>
        <v>-</v>
      </c>
      <c r="BU26" s="91" t="str">
        <f>IF(AC26="-","-",VLOOKUP($E26,CTPit!$E$10:$AW$75,BU$9,FALSE)-AC26)</f>
        <v>-</v>
      </c>
      <c r="BV26" s="91" t="str">
        <f>IF(AD26="-","-",VLOOKUP($E26,CTPit!$E$10:$AW$75,BV$9,FALSE)-AD26)</f>
        <v>-</v>
      </c>
      <c r="BW26" s="91" t="str">
        <f>IF(AE26="-","-",VLOOKUP($E26,CTPit!$E$10:$AW$75,BW$9,FALSE)-AE26)</f>
        <v>-</v>
      </c>
      <c r="BX26" s="91" t="str">
        <f>IF(AF26="-","-",VLOOKUP($E26,CTPit!$E$10:$AW$75,BX$9,FALSE)-AF26)</f>
        <v>-</v>
      </c>
      <c r="BY26" s="91" t="str">
        <f>IF(AG26="-","-",VLOOKUP($E26,CTPit!$E$10:$AW$75,BY$9,FALSE)-AG26)</f>
        <v>-</v>
      </c>
      <c r="BZ26" s="91" t="str">
        <f>IF(AH26="-","-",VLOOKUP($E26,CTPit!$E$10:$AW$75,BZ$9,FALSE)-AH26)</f>
        <v>-</v>
      </c>
      <c r="CA26" s="91">
        <f>IF(AI26="-","-",VLOOKUP($E26,CTPit!$E$10:$AW$75,CA$9,FALSE)-AI26)</f>
        <v>0</v>
      </c>
      <c r="CB26" s="91">
        <f>IF(AJ26="-","-",VLOOKUP($E26,CTPit!$E$10:$AW$75,CB$9,FALSE)-AJ26)</f>
        <v>0</v>
      </c>
      <c r="CC26" s="91" t="str">
        <f>IF(AK26="-","-",VLOOKUP($E26,CTPit!$E$10:$AW$75,CC$9,FALSE)-AK26)</f>
        <v>-</v>
      </c>
      <c r="CD26" s="91" t="str">
        <f>IF(AL26="-","-",VLOOKUP($E26,CTPit!$E$10:$AW$75,CD$9,FALSE)-AL26)</f>
        <v>-</v>
      </c>
      <c r="CE26" s="91" t="str">
        <f>IF(AM26="-","-",VLOOKUP($E26,CTPit!$E$10:$AW$75,CE$9,FALSE)-AM26)</f>
        <v>-</v>
      </c>
      <c r="CF26" s="91" t="str">
        <f>IF(AN26="-","-",VLOOKUP($E26,CTPit!$E$10:$AW$75,CF$9,FALSE)-AN26)</f>
        <v>-</v>
      </c>
      <c r="CG26" s="91" t="str">
        <f>IF(AO26="-","-",VLOOKUP($E26,CTPit!$E$10:$AW$75,CG$9,FALSE)-AO26)</f>
        <v>-</v>
      </c>
      <c r="CH26" s="91" t="str">
        <f>IF(AP26="-","-",VLOOKUP($E26,CTPit!$E$10:$AW$75,CH$9,FALSE)-AP26)</f>
        <v>-</v>
      </c>
      <c r="CI26" s="91" t="str">
        <f>IF(AQ26="-","-",VLOOKUP($E26,CTPit!$E$10:$AW$75,CI$9,FALSE)-AQ26)</f>
        <v>-</v>
      </c>
      <c r="CJ26" s="91" t="str">
        <f>IF(AR26="-","-",VLOOKUP($E26,CTPit!$E$10:$AW$75,CJ$9,FALSE)-AR26)</f>
        <v>-</v>
      </c>
      <c r="CK26">
        <f t="shared" si="15"/>
        <v>2</v>
      </c>
    </row>
    <row r="27" spans="3:89">
      <c r="C27" t="str">
        <f t="shared" si="5"/>
        <v>K</v>
      </c>
      <c r="D27" t="s">
        <v>110</v>
      </c>
      <c r="E27" t="s">
        <v>515</v>
      </c>
      <c r="F27" t="s">
        <v>383</v>
      </c>
      <c r="G27" t="s">
        <v>327</v>
      </c>
      <c r="H27">
        <v>22</v>
      </c>
      <c r="I27" t="s">
        <v>107</v>
      </c>
      <c r="J27" s="220" t="s">
        <v>107</v>
      </c>
      <c r="K27" t="s">
        <v>47</v>
      </c>
      <c r="L27" t="s">
        <v>47</v>
      </c>
      <c r="M27" t="s">
        <v>232</v>
      </c>
      <c r="N27" s="220" t="s">
        <v>228</v>
      </c>
      <c r="O27">
        <v>5</v>
      </c>
      <c r="P27">
        <v>4</v>
      </c>
      <c r="Q27" s="220">
        <v>1</v>
      </c>
      <c r="R27">
        <v>6</v>
      </c>
      <c r="S27">
        <v>4</v>
      </c>
      <c r="T27" s="220">
        <v>3</v>
      </c>
      <c r="U27">
        <v>6</v>
      </c>
      <c r="V27">
        <v>6</v>
      </c>
      <c r="W27">
        <v>2</v>
      </c>
      <c r="X27">
        <v>3</v>
      </c>
      <c r="Y27">
        <v>5</v>
      </c>
      <c r="Z27">
        <v>6</v>
      </c>
      <c r="AA27">
        <v>3</v>
      </c>
      <c r="AB27">
        <v>3</v>
      </c>
      <c r="AC27" t="s">
        <v>41</v>
      </c>
      <c r="AD27" t="s">
        <v>41</v>
      </c>
      <c r="AE27" t="s">
        <v>41</v>
      </c>
      <c r="AF27" t="s">
        <v>41</v>
      </c>
      <c r="AG27" t="s">
        <v>41</v>
      </c>
      <c r="AH27" t="s">
        <v>41</v>
      </c>
      <c r="AI27" t="s">
        <v>41</v>
      </c>
      <c r="AJ27" t="s">
        <v>41</v>
      </c>
      <c r="AK27" t="s">
        <v>41</v>
      </c>
      <c r="AL27" t="s">
        <v>41</v>
      </c>
      <c r="AM27" t="s">
        <v>41</v>
      </c>
      <c r="AN27" t="s">
        <v>41</v>
      </c>
      <c r="AO27" t="s">
        <v>41</v>
      </c>
      <c r="AP27" t="s">
        <v>41</v>
      </c>
      <c r="AQ27" t="s">
        <v>41</v>
      </c>
      <c r="AR27" s="220" t="s">
        <v>41</v>
      </c>
      <c r="AS27" t="s">
        <v>5</v>
      </c>
      <c r="AT27">
        <v>6</v>
      </c>
      <c r="AU27" s="11">
        <v>0.44</v>
      </c>
      <c r="AV27" s="85" t="s">
        <v>41</v>
      </c>
      <c r="AW27" s="220">
        <v>0</v>
      </c>
      <c r="AX27" s="6">
        <f t="shared" si="6"/>
        <v>3.8333333333333335</v>
      </c>
      <c r="AY27" s="9" t="str">
        <f t="shared" si="7"/>
        <v>Minors</v>
      </c>
      <c r="AZ27" s="9">
        <f t="shared" si="8"/>
        <v>4.833333333333333</v>
      </c>
      <c r="BA27" s="9" t="str">
        <f t="shared" si="9"/>
        <v>Bench</v>
      </c>
      <c r="BB27" s="9">
        <f t="shared" si="10"/>
        <v>4.833333333333333</v>
      </c>
      <c r="BC27" s="9" t="str">
        <f t="shared" si="11"/>
        <v>Bench</v>
      </c>
      <c r="BD27" s="84">
        <f t="shared" si="12"/>
        <v>4</v>
      </c>
      <c r="BE27" s="83">
        <f t="shared" si="13"/>
        <v>1.5</v>
      </c>
      <c r="BF27" t="str">
        <f t="shared" si="14"/>
        <v/>
      </c>
      <c r="BG27" s="91">
        <f>IF(O27="-","-",VLOOKUP($E27,CTPit!$E$10:$AW$75,BG$9,FALSE)-O27)</f>
        <v>0</v>
      </c>
      <c r="BH27" s="91">
        <f>IF(P27="-","-",VLOOKUP($E27,CTPit!$E$10:$AW$75,BH$9,FALSE)-P27)</f>
        <v>0</v>
      </c>
      <c r="BI27" s="91">
        <f>IF(Q27="-","-",VLOOKUP($E27,CTPit!$E$10:$AW$75,BI$9,FALSE)-Q27)</f>
        <v>1</v>
      </c>
      <c r="BJ27" s="91">
        <f>IF(R27="-","-",VLOOKUP($E27,CTPit!$E$10:$AW$75,BJ$9,FALSE)-R27)</f>
        <v>0</v>
      </c>
      <c r="BK27" s="91">
        <f>IF(S27="-","-",VLOOKUP($E27,CTPit!$E$10:$AW$75,BK$9,FALSE)-S27)</f>
        <v>0</v>
      </c>
      <c r="BL27" s="91">
        <f>IF(T27="-","-",VLOOKUP($E27,CTPit!$E$10:$AW$75,BL$9,FALSE)-T27)</f>
        <v>1</v>
      </c>
      <c r="BM27" s="91">
        <f>IF(U27="-","-",VLOOKUP($E27,CTPit!$E$10:$AW$75,BM$9,FALSE)-U27)</f>
        <v>0</v>
      </c>
      <c r="BN27" s="91">
        <f>IF(V27="-","-",VLOOKUP($E27,CTPit!$E$10:$AW$75,BN$9,FALSE)-V27)</f>
        <v>0</v>
      </c>
      <c r="BO27" s="91">
        <f>IF(W27="-","-",VLOOKUP($E27,CTPit!$E$10:$AW$75,BO$9,FALSE)-W27)</f>
        <v>0</v>
      </c>
      <c r="BP27" s="91">
        <f>IF(X27="-","-",VLOOKUP($E27,CTPit!$E$10:$AW$75,BP$9,FALSE)-X27)</f>
        <v>0</v>
      </c>
      <c r="BQ27" s="91">
        <f>IF(Y27="-","-",VLOOKUP($E27,CTPit!$E$10:$AW$75,BQ$9,FALSE)-Y27)</f>
        <v>0</v>
      </c>
      <c r="BR27" s="91">
        <f>IF(Z27="-","-",VLOOKUP($E27,CTPit!$E$10:$AW$75,BR$9,FALSE)-Z27)</f>
        <v>0</v>
      </c>
      <c r="BS27" s="91">
        <f>IF(AA27="-","-",VLOOKUP($E27,CTPit!$E$10:$AW$75,BS$9,FALSE)-AA27)</f>
        <v>0</v>
      </c>
      <c r="BT27" s="91">
        <f>IF(AB27="-","-",VLOOKUP($E27,CTPit!$E$10:$AW$75,BT$9,FALSE)-AB27)</f>
        <v>0</v>
      </c>
      <c r="BU27" s="91" t="str">
        <f>IF(AC27="-","-",VLOOKUP($E27,CTPit!$E$10:$AW$75,BU$9,FALSE)-AC27)</f>
        <v>-</v>
      </c>
      <c r="BV27" s="91" t="str">
        <f>IF(AD27="-","-",VLOOKUP($E27,CTPit!$E$10:$AW$75,BV$9,FALSE)-AD27)</f>
        <v>-</v>
      </c>
      <c r="BW27" s="91" t="str">
        <f>IF(AE27="-","-",VLOOKUP($E27,CTPit!$E$10:$AW$75,BW$9,FALSE)-AE27)</f>
        <v>-</v>
      </c>
      <c r="BX27" s="91" t="str">
        <f>IF(AF27="-","-",VLOOKUP($E27,CTPit!$E$10:$AW$75,BX$9,FALSE)-AF27)</f>
        <v>-</v>
      </c>
      <c r="BY27" s="91" t="str">
        <f>IF(AG27="-","-",VLOOKUP($E27,CTPit!$E$10:$AW$75,BY$9,FALSE)-AG27)</f>
        <v>-</v>
      </c>
      <c r="BZ27" s="91" t="str">
        <f>IF(AH27="-","-",VLOOKUP($E27,CTPit!$E$10:$AW$75,BZ$9,FALSE)-AH27)</f>
        <v>-</v>
      </c>
      <c r="CA27" s="91" t="str">
        <f>IF(AI27="-","-",VLOOKUP($E27,CTPit!$E$10:$AW$75,CA$9,FALSE)-AI27)</f>
        <v>-</v>
      </c>
      <c r="CB27" s="91" t="str">
        <f>IF(AJ27="-","-",VLOOKUP($E27,CTPit!$E$10:$AW$75,CB$9,FALSE)-AJ27)</f>
        <v>-</v>
      </c>
      <c r="CC27" s="91" t="str">
        <f>IF(AK27="-","-",VLOOKUP($E27,CTPit!$E$10:$AW$75,CC$9,FALSE)-AK27)</f>
        <v>-</v>
      </c>
      <c r="CD27" s="91" t="str">
        <f>IF(AL27="-","-",VLOOKUP($E27,CTPit!$E$10:$AW$75,CD$9,FALSE)-AL27)</f>
        <v>-</v>
      </c>
      <c r="CE27" s="91" t="str">
        <f>IF(AM27="-","-",VLOOKUP($E27,CTPit!$E$10:$AW$75,CE$9,FALSE)-AM27)</f>
        <v>-</v>
      </c>
      <c r="CF27" s="91" t="str">
        <f>IF(AN27="-","-",VLOOKUP($E27,CTPit!$E$10:$AW$75,CF$9,FALSE)-AN27)</f>
        <v>-</v>
      </c>
      <c r="CG27" s="91" t="str">
        <f>IF(AO27="-","-",VLOOKUP($E27,CTPit!$E$10:$AW$75,CG$9,FALSE)-AO27)</f>
        <v>-</v>
      </c>
      <c r="CH27" s="91" t="str">
        <f>IF(AP27="-","-",VLOOKUP($E27,CTPit!$E$10:$AW$75,CH$9,FALSE)-AP27)</f>
        <v>-</v>
      </c>
      <c r="CI27" s="91" t="str">
        <f>IF(AQ27="-","-",VLOOKUP($E27,CTPit!$E$10:$AW$75,CI$9,FALSE)-AQ27)</f>
        <v>-</v>
      </c>
      <c r="CJ27" s="91" t="str">
        <f>IF(AR27="-","-",VLOOKUP($E27,CTPit!$E$10:$AW$75,CJ$9,FALSE)-AR27)</f>
        <v>-</v>
      </c>
      <c r="CK27">
        <f t="shared" si="15"/>
        <v>2</v>
      </c>
    </row>
    <row r="28" spans="3:89">
      <c r="C28" t="str">
        <f t="shared" si="5"/>
        <v>K</v>
      </c>
      <c r="D28" t="s">
        <v>111</v>
      </c>
      <c r="E28" t="s">
        <v>407</v>
      </c>
      <c r="F28" t="s">
        <v>385</v>
      </c>
      <c r="G28" t="s">
        <v>214</v>
      </c>
      <c r="H28">
        <v>24</v>
      </c>
      <c r="I28" t="s">
        <v>107</v>
      </c>
      <c r="J28" s="220" t="s">
        <v>107</v>
      </c>
      <c r="K28" t="s">
        <v>47</v>
      </c>
      <c r="L28" t="s">
        <v>47</v>
      </c>
      <c r="M28" t="s">
        <v>231</v>
      </c>
      <c r="N28" s="220" t="s">
        <v>231</v>
      </c>
      <c r="O28">
        <v>5</v>
      </c>
      <c r="P28">
        <v>3</v>
      </c>
      <c r="Q28" s="220">
        <v>2</v>
      </c>
      <c r="R28">
        <v>5</v>
      </c>
      <c r="S28">
        <v>3</v>
      </c>
      <c r="T28" s="220">
        <v>2</v>
      </c>
      <c r="U28">
        <v>6</v>
      </c>
      <c r="V28">
        <v>6</v>
      </c>
      <c r="W28">
        <v>3</v>
      </c>
      <c r="X28">
        <v>4</v>
      </c>
      <c r="Y28" t="s">
        <v>41</v>
      </c>
      <c r="Z28" t="s">
        <v>41</v>
      </c>
      <c r="AA28" t="s">
        <v>41</v>
      </c>
      <c r="AB28" t="s">
        <v>41</v>
      </c>
      <c r="AC28" t="s">
        <v>41</v>
      </c>
      <c r="AD28" t="s">
        <v>41</v>
      </c>
      <c r="AE28" t="s">
        <v>41</v>
      </c>
      <c r="AF28" t="s">
        <v>41</v>
      </c>
      <c r="AG28">
        <v>6</v>
      </c>
      <c r="AH28">
        <v>6</v>
      </c>
      <c r="AI28" t="s">
        <v>41</v>
      </c>
      <c r="AJ28" t="s">
        <v>41</v>
      </c>
      <c r="AK28" t="s">
        <v>41</v>
      </c>
      <c r="AL28" t="s">
        <v>41</v>
      </c>
      <c r="AM28" t="s">
        <v>41</v>
      </c>
      <c r="AN28" t="s">
        <v>41</v>
      </c>
      <c r="AO28" t="s">
        <v>41</v>
      </c>
      <c r="AP28" t="s">
        <v>41</v>
      </c>
      <c r="AQ28" t="s">
        <v>41</v>
      </c>
      <c r="AR28" s="220" t="s">
        <v>41</v>
      </c>
      <c r="AS28" t="s">
        <v>14</v>
      </c>
      <c r="AT28">
        <v>7</v>
      </c>
      <c r="AU28" s="281">
        <v>0.35</v>
      </c>
      <c r="AV28" t="s">
        <v>41</v>
      </c>
      <c r="AW28" s="8">
        <v>0</v>
      </c>
      <c r="AX28" s="6">
        <f t="shared" si="6"/>
        <v>3.5833333333333335</v>
      </c>
      <c r="AY28" s="9" t="str">
        <f t="shared" si="7"/>
        <v>Minors</v>
      </c>
      <c r="AZ28" s="9">
        <f t="shared" si="8"/>
        <v>3.5833333333333335</v>
      </c>
      <c r="BA28" s="9" t="str">
        <f t="shared" si="9"/>
        <v>Minors</v>
      </c>
      <c r="BB28" s="9">
        <f t="shared" si="10"/>
        <v>3.5833333333333335</v>
      </c>
      <c r="BC28" s="9" t="str">
        <f t="shared" si="11"/>
        <v>Minors</v>
      </c>
      <c r="BD28" s="84">
        <f t="shared" si="12"/>
        <v>3</v>
      </c>
      <c r="BE28" s="83">
        <f t="shared" si="13"/>
        <v>2</v>
      </c>
      <c r="BF28" t="str">
        <f t="shared" si="14"/>
        <v/>
      </c>
      <c r="BG28" s="91" t="e">
        <f>IF(O28="-","-",VLOOKUP($E28,CTPit!$E$10:$AW$75,BG$9,FALSE)-O28)</f>
        <v>#N/A</v>
      </c>
      <c r="BH28" s="91" t="e">
        <f>IF(P28="-","-",VLOOKUP($E28,CTPit!$E$10:$AW$75,BH$9,FALSE)-P28)</f>
        <v>#N/A</v>
      </c>
      <c r="BI28" s="91" t="e">
        <f>IF(Q28="-","-",VLOOKUP($E28,CTPit!$E$10:$AW$75,BI$9,FALSE)-Q28)</f>
        <v>#N/A</v>
      </c>
      <c r="BJ28" s="91" t="e">
        <f>IF(R28="-","-",VLOOKUP($E28,CTPit!$E$10:$AW$75,BJ$9,FALSE)-R28)</f>
        <v>#N/A</v>
      </c>
      <c r="BK28" s="91" t="e">
        <f>IF(S28="-","-",VLOOKUP($E28,CTPit!$E$10:$AW$75,BK$9,FALSE)-S28)</f>
        <v>#N/A</v>
      </c>
      <c r="BL28" s="91" t="e">
        <f>IF(T28="-","-",VLOOKUP($E28,CTPit!$E$10:$AW$75,BL$9,FALSE)-T28)</f>
        <v>#N/A</v>
      </c>
      <c r="BM28" s="91" t="e">
        <f>IF(U28="-","-",VLOOKUP($E28,CTPit!$E$10:$AW$75,BM$9,FALSE)-U28)</f>
        <v>#N/A</v>
      </c>
      <c r="BN28" s="91" t="e">
        <f>IF(V28="-","-",VLOOKUP($E28,CTPit!$E$10:$AW$75,BN$9,FALSE)-V28)</f>
        <v>#N/A</v>
      </c>
      <c r="BO28" s="91" t="e">
        <f>IF(W28="-","-",VLOOKUP($E28,CTPit!$E$10:$AW$75,BO$9,FALSE)-W28)</f>
        <v>#N/A</v>
      </c>
      <c r="BP28" s="91" t="e">
        <f>IF(X28="-","-",VLOOKUP($E28,CTPit!$E$10:$AW$75,BP$9,FALSE)-X28)</f>
        <v>#N/A</v>
      </c>
      <c r="BQ28" s="91" t="str">
        <f>IF(Y28="-","-",VLOOKUP($E28,CTPit!$E$10:$AW$75,BQ$9,FALSE)-Y28)</f>
        <v>-</v>
      </c>
      <c r="BR28" s="91" t="str">
        <f>IF(Z28="-","-",VLOOKUP($E28,CTPit!$E$10:$AW$75,BR$9,FALSE)-Z28)</f>
        <v>-</v>
      </c>
      <c r="BS28" s="91" t="str">
        <f>IF(AA28="-","-",VLOOKUP($E28,CTPit!$E$10:$AW$75,BS$9,FALSE)-AA28)</f>
        <v>-</v>
      </c>
      <c r="BT28" s="91" t="str">
        <f>IF(AB28="-","-",VLOOKUP($E28,CTPit!$E$10:$AW$75,BT$9,FALSE)-AB28)</f>
        <v>-</v>
      </c>
      <c r="BU28" s="91" t="str">
        <f>IF(AC28="-","-",VLOOKUP($E28,CTPit!$E$10:$AW$75,BU$9,FALSE)-AC28)</f>
        <v>-</v>
      </c>
      <c r="BV28" s="91" t="str">
        <f>IF(AD28="-","-",VLOOKUP($E28,CTPit!$E$10:$AW$75,BV$9,FALSE)-AD28)</f>
        <v>-</v>
      </c>
      <c r="BW28" s="91" t="str">
        <f>IF(AE28="-","-",VLOOKUP($E28,CTPit!$E$10:$AW$75,BW$9,FALSE)-AE28)</f>
        <v>-</v>
      </c>
      <c r="BX28" s="91" t="str">
        <f>IF(AF28="-","-",VLOOKUP($E28,CTPit!$E$10:$AW$75,BX$9,FALSE)-AF28)</f>
        <v>-</v>
      </c>
      <c r="BY28" s="91" t="e">
        <f>IF(AG28="-","-",VLOOKUP($E28,CTPit!$E$10:$AW$75,BY$9,FALSE)-AG28)</f>
        <v>#N/A</v>
      </c>
      <c r="BZ28" s="91" t="e">
        <f>IF(AH28="-","-",VLOOKUP($E28,CTPit!$E$10:$AW$75,BZ$9,FALSE)-AH28)</f>
        <v>#N/A</v>
      </c>
      <c r="CA28" s="91" t="str">
        <f>IF(AI28="-","-",VLOOKUP($E28,CTPit!$E$10:$AW$75,CA$9,FALSE)-AI28)</f>
        <v>-</v>
      </c>
      <c r="CB28" s="91" t="str">
        <f>IF(AJ28="-","-",VLOOKUP($E28,CTPit!$E$10:$AW$75,CB$9,FALSE)-AJ28)</f>
        <v>-</v>
      </c>
      <c r="CC28" s="91" t="str">
        <f>IF(AK28="-","-",VLOOKUP($E28,CTPit!$E$10:$AW$75,CC$9,FALSE)-AK28)</f>
        <v>-</v>
      </c>
      <c r="CD28" s="91" t="str">
        <f>IF(AL28="-","-",VLOOKUP($E28,CTPit!$E$10:$AW$75,CD$9,FALSE)-AL28)</f>
        <v>-</v>
      </c>
      <c r="CE28" s="91" t="str">
        <f>IF(AM28="-","-",VLOOKUP($E28,CTPit!$E$10:$AW$75,CE$9,FALSE)-AM28)</f>
        <v>-</v>
      </c>
      <c r="CF28" s="91" t="str">
        <f>IF(AN28="-","-",VLOOKUP($E28,CTPit!$E$10:$AW$75,CF$9,FALSE)-AN28)</f>
        <v>-</v>
      </c>
      <c r="CG28" s="91" t="str">
        <f>IF(AO28="-","-",VLOOKUP($E28,CTPit!$E$10:$AW$75,CG$9,FALSE)-AO28)</f>
        <v>-</v>
      </c>
      <c r="CH28" s="91" t="str">
        <f>IF(AP28="-","-",VLOOKUP($E28,CTPit!$E$10:$AW$75,CH$9,FALSE)-AP28)</f>
        <v>-</v>
      </c>
      <c r="CI28" s="91" t="str">
        <f>IF(AQ28="-","-",VLOOKUP($E28,CTPit!$E$10:$AW$75,CI$9,FALSE)-AQ28)</f>
        <v>-</v>
      </c>
      <c r="CJ28" s="91" t="str">
        <f>IF(AR28="-","-",VLOOKUP($E28,CTPit!$E$10:$AW$75,CJ$9,FALSE)-AR28)</f>
        <v>-</v>
      </c>
      <c r="CK28" t="e">
        <f t="shared" si="15"/>
        <v>#N/A</v>
      </c>
    </row>
    <row r="29" spans="3:89">
      <c r="C29" t="str">
        <f t="shared" si="5"/>
        <v>K</v>
      </c>
      <c r="D29" t="s">
        <v>110</v>
      </c>
      <c r="E29" t="s">
        <v>586</v>
      </c>
      <c r="F29" t="s">
        <v>385</v>
      </c>
      <c r="G29" t="s">
        <v>214</v>
      </c>
      <c r="H29">
        <v>31</v>
      </c>
      <c r="I29" t="s">
        <v>106</v>
      </c>
      <c r="J29" s="220" t="s">
        <v>107</v>
      </c>
      <c r="K29" t="s">
        <v>42</v>
      </c>
      <c r="L29" t="s">
        <v>42</v>
      </c>
      <c r="M29" t="s">
        <v>228</v>
      </c>
      <c r="N29" s="220" t="s">
        <v>228</v>
      </c>
      <c r="O29">
        <v>6</v>
      </c>
      <c r="P29">
        <v>6</v>
      </c>
      <c r="Q29" s="220">
        <v>6</v>
      </c>
      <c r="R29">
        <v>6</v>
      </c>
      <c r="S29">
        <v>6</v>
      </c>
      <c r="T29" s="220">
        <v>6</v>
      </c>
      <c r="U29">
        <v>5</v>
      </c>
      <c r="V29">
        <v>5</v>
      </c>
      <c r="W29">
        <v>3</v>
      </c>
      <c r="X29">
        <v>4</v>
      </c>
      <c r="Y29">
        <v>7</v>
      </c>
      <c r="Z29">
        <v>7</v>
      </c>
      <c r="AA29">
        <v>2</v>
      </c>
      <c r="AB29">
        <v>2</v>
      </c>
      <c r="AC29" t="s">
        <v>41</v>
      </c>
      <c r="AD29" t="s">
        <v>41</v>
      </c>
      <c r="AE29" t="s">
        <v>41</v>
      </c>
      <c r="AF29" t="s">
        <v>41</v>
      </c>
      <c r="AG29" t="s">
        <v>41</v>
      </c>
      <c r="AH29" t="s">
        <v>41</v>
      </c>
      <c r="AI29">
        <v>5</v>
      </c>
      <c r="AJ29">
        <v>6</v>
      </c>
      <c r="AK29" t="s">
        <v>41</v>
      </c>
      <c r="AL29" t="s">
        <v>41</v>
      </c>
      <c r="AM29" t="s">
        <v>41</v>
      </c>
      <c r="AN29" t="s">
        <v>41</v>
      </c>
      <c r="AO29" t="s">
        <v>41</v>
      </c>
      <c r="AP29" t="s">
        <v>41</v>
      </c>
      <c r="AQ29" t="s">
        <v>41</v>
      </c>
      <c r="AR29" s="220" t="s">
        <v>41</v>
      </c>
      <c r="AS29" t="s">
        <v>1</v>
      </c>
      <c r="AT29">
        <v>5</v>
      </c>
      <c r="AU29" s="11">
        <v>0.43</v>
      </c>
      <c r="AV29" s="85" t="s">
        <v>41</v>
      </c>
      <c r="AW29" s="220">
        <v>0</v>
      </c>
      <c r="AX29" s="6">
        <f t="shared" si="6"/>
        <v>6.75</v>
      </c>
      <c r="AY29" s="9" t="str">
        <f t="shared" si="7"/>
        <v>GoodReg</v>
      </c>
      <c r="AZ29" s="9">
        <f t="shared" si="8"/>
        <v>6.75</v>
      </c>
      <c r="BA29" s="9" t="str">
        <f t="shared" si="9"/>
        <v>GoodReg</v>
      </c>
      <c r="BB29" s="9">
        <f t="shared" si="10"/>
        <v>6.75</v>
      </c>
      <c r="BC29" s="9" t="str">
        <f t="shared" si="11"/>
        <v>GoodReg</v>
      </c>
      <c r="BD29" s="84">
        <f t="shared" si="12"/>
        <v>5</v>
      </c>
      <c r="BE29" s="83">
        <f t="shared" si="13"/>
        <v>1.5</v>
      </c>
      <c r="BF29" t="str">
        <f t="shared" si="14"/>
        <v/>
      </c>
      <c r="BG29" s="91">
        <f>IF(O29="-","-",VLOOKUP($E29,CTPit!$E$10:$AW$75,BG$9,FALSE)-O29)</f>
        <v>0</v>
      </c>
      <c r="BH29" s="91">
        <f>IF(P29="-","-",VLOOKUP($E29,CTPit!$E$10:$AW$75,BH$9,FALSE)-P29)</f>
        <v>0</v>
      </c>
      <c r="BI29" s="91">
        <f>IF(Q29="-","-",VLOOKUP($E29,CTPit!$E$10:$AW$75,BI$9,FALSE)-Q29)</f>
        <v>0</v>
      </c>
      <c r="BJ29" s="91">
        <f>IF(R29="-","-",VLOOKUP($E29,CTPit!$E$10:$AW$75,BJ$9,FALSE)-R29)</f>
        <v>0</v>
      </c>
      <c r="BK29" s="91">
        <f>IF(S29="-","-",VLOOKUP($E29,CTPit!$E$10:$AW$75,BK$9,FALSE)-S29)</f>
        <v>0</v>
      </c>
      <c r="BL29" s="91">
        <f>IF(T29="-","-",VLOOKUP($E29,CTPit!$E$10:$AW$75,BL$9,FALSE)-T29)</f>
        <v>0</v>
      </c>
      <c r="BM29" s="91">
        <f>IF(U29="-","-",VLOOKUP($E29,CTPit!$E$10:$AW$75,BM$9,FALSE)-U29)</f>
        <v>0</v>
      </c>
      <c r="BN29" s="91">
        <f>IF(V29="-","-",VLOOKUP($E29,CTPit!$E$10:$AW$75,BN$9,FALSE)-V29)</f>
        <v>0</v>
      </c>
      <c r="BO29" s="91">
        <f>IF(W29="-","-",VLOOKUP($E29,CTPit!$E$10:$AW$75,BO$9,FALSE)-W29)</f>
        <v>0</v>
      </c>
      <c r="BP29" s="91">
        <f>IF(X29="-","-",VLOOKUP($E29,CTPit!$E$10:$AW$75,BP$9,FALSE)-X29)</f>
        <v>0</v>
      </c>
      <c r="BQ29" s="91">
        <f>IF(Y29="-","-",VLOOKUP($E29,CTPit!$E$10:$AW$75,BQ$9,FALSE)-Y29)</f>
        <v>0</v>
      </c>
      <c r="BR29" s="91">
        <f>IF(Z29="-","-",VLOOKUP($E29,CTPit!$E$10:$AW$75,BR$9,FALSE)-Z29)</f>
        <v>0</v>
      </c>
      <c r="BS29" s="91">
        <f>IF(AA29="-","-",VLOOKUP($E29,CTPit!$E$10:$AW$75,BS$9,FALSE)-AA29)</f>
        <v>0</v>
      </c>
      <c r="BT29" s="91">
        <f>IF(AB29="-","-",VLOOKUP($E29,CTPit!$E$10:$AW$75,BT$9,FALSE)-AB29)</f>
        <v>0</v>
      </c>
      <c r="BU29" s="91" t="str">
        <f>IF(AC29="-","-",VLOOKUP($E29,CTPit!$E$10:$AW$75,BU$9,FALSE)-AC29)</f>
        <v>-</v>
      </c>
      <c r="BV29" s="91" t="str">
        <f>IF(AD29="-","-",VLOOKUP($E29,CTPit!$E$10:$AW$75,BV$9,FALSE)-AD29)</f>
        <v>-</v>
      </c>
      <c r="BW29" s="91" t="str">
        <f>IF(AE29="-","-",VLOOKUP($E29,CTPit!$E$10:$AW$75,BW$9,FALSE)-AE29)</f>
        <v>-</v>
      </c>
      <c r="BX29" s="91" t="str">
        <f>IF(AF29="-","-",VLOOKUP($E29,CTPit!$E$10:$AW$75,BX$9,FALSE)-AF29)</f>
        <v>-</v>
      </c>
      <c r="BY29" s="91" t="str">
        <f>IF(AG29="-","-",VLOOKUP($E29,CTPit!$E$10:$AW$75,BY$9,FALSE)-AG29)</f>
        <v>-</v>
      </c>
      <c r="BZ29" s="91" t="str">
        <f>IF(AH29="-","-",VLOOKUP($E29,CTPit!$E$10:$AW$75,BZ$9,FALSE)-AH29)</f>
        <v>-</v>
      </c>
      <c r="CA29" s="91">
        <f>IF(AI29="-","-",VLOOKUP($E29,CTPit!$E$10:$AW$75,CA$9,FALSE)-AI29)</f>
        <v>1</v>
      </c>
      <c r="CB29" s="91">
        <f>IF(AJ29="-","-",VLOOKUP($E29,CTPit!$E$10:$AW$75,CB$9,FALSE)-AJ29)</f>
        <v>0</v>
      </c>
      <c r="CC29" s="91" t="str">
        <f>IF(AK29="-","-",VLOOKUP($E29,CTPit!$E$10:$AW$75,CC$9,FALSE)-AK29)</f>
        <v>-</v>
      </c>
      <c r="CD29" s="91" t="str">
        <f>IF(AL29="-","-",VLOOKUP($E29,CTPit!$E$10:$AW$75,CD$9,FALSE)-AL29)</f>
        <v>-</v>
      </c>
      <c r="CE29" s="91" t="str">
        <f>IF(AM29="-","-",VLOOKUP($E29,CTPit!$E$10:$AW$75,CE$9,FALSE)-AM29)</f>
        <v>-</v>
      </c>
      <c r="CF29" s="91" t="str">
        <f>IF(AN29="-","-",VLOOKUP($E29,CTPit!$E$10:$AW$75,CF$9,FALSE)-AN29)</f>
        <v>-</v>
      </c>
      <c r="CG29" s="91" t="str">
        <f>IF(AO29="-","-",VLOOKUP($E29,CTPit!$E$10:$AW$75,CG$9,FALSE)-AO29)</f>
        <v>-</v>
      </c>
      <c r="CH29" s="91" t="str">
        <f>IF(AP29="-","-",VLOOKUP($E29,CTPit!$E$10:$AW$75,CH$9,FALSE)-AP29)</f>
        <v>-</v>
      </c>
      <c r="CI29" s="91" t="str">
        <f>IF(AQ29="-","-",VLOOKUP($E29,CTPit!$E$10:$AW$75,CI$9,FALSE)-AQ29)</f>
        <v>-</v>
      </c>
      <c r="CJ29" s="91" t="str">
        <f>IF(AR29="-","-",VLOOKUP($E29,CTPit!$E$10:$AW$75,CJ$9,FALSE)-AR29)</f>
        <v>-</v>
      </c>
      <c r="CK29">
        <f t="shared" si="15"/>
        <v>1</v>
      </c>
    </row>
    <row r="30" spans="3:89">
      <c r="C30" t="str">
        <f t="shared" si="5"/>
        <v>K</v>
      </c>
      <c r="D30" t="s">
        <v>110</v>
      </c>
      <c r="E30" t="s">
        <v>507</v>
      </c>
      <c r="F30" t="s">
        <v>385</v>
      </c>
      <c r="G30" t="s">
        <v>214</v>
      </c>
      <c r="H30">
        <v>23</v>
      </c>
      <c r="I30" t="s">
        <v>106</v>
      </c>
      <c r="J30" s="220" t="s">
        <v>106</v>
      </c>
      <c r="K30" t="s">
        <v>42</v>
      </c>
      <c r="L30" t="s">
        <v>48</v>
      </c>
      <c r="M30" t="s">
        <v>229</v>
      </c>
      <c r="N30" s="220" t="s">
        <v>230</v>
      </c>
      <c r="O30">
        <v>6</v>
      </c>
      <c r="P30">
        <v>5</v>
      </c>
      <c r="Q30" s="220">
        <v>4</v>
      </c>
      <c r="R30">
        <v>7</v>
      </c>
      <c r="S30">
        <v>6</v>
      </c>
      <c r="T30" s="220">
        <v>8</v>
      </c>
      <c r="U30">
        <v>6</v>
      </c>
      <c r="V30">
        <v>7</v>
      </c>
      <c r="W30" t="s">
        <v>41</v>
      </c>
      <c r="X30" t="s">
        <v>41</v>
      </c>
      <c r="Y30">
        <v>6</v>
      </c>
      <c r="Z30">
        <v>8</v>
      </c>
      <c r="AA30" t="s">
        <v>41</v>
      </c>
      <c r="AB30" t="s">
        <v>41</v>
      </c>
      <c r="AC30" t="s">
        <v>41</v>
      </c>
      <c r="AD30" t="s">
        <v>41</v>
      </c>
      <c r="AE30" t="s">
        <v>41</v>
      </c>
      <c r="AF30" t="s">
        <v>41</v>
      </c>
      <c r="AG30" t="s">
        <v>41</v>
      </c>
      <c r="AH30" t="s">
        <v>41</v>
      </c>
      <c r="AI30" t="s">
        <v>41</v>
      </c>
      <c r="AJ30" t="s">
        <v>41</v>
      </c>
      <c r="AK30" t="s">
        <v>41</v>
      </c>
      <c r="AL30" t="s">
        <v>41</v>
      </c>
      <c r="AM30" t="s">
        <v>41</v>
      </c>
      <c r="AN30" t="s">
        <v>41</v>
      </c>
      <c r="AO30" t="s">
        <v>41</v>
      </c>
      <c r="AP30" t="s">
        <v>41</v>
      </c>
      <c r="AQ30" t="s">
        <v>41</v>
      </c>
      <c r="AR30" s="220" t="s">
        <v>41</v>
      </c>
      <c r="AS30" t="s">
        <v>15</v>
      </c>
      <c r="AT30">
        <v>1</v>
      </c>
      <c r="AU30" s="11">
        <v>0.52</v>
      </c>
      <c r="AV30" s="85" t="s">
        <v>41</v>
      </c>
      <c r="AW30" s="220">
        <v>0</v>
      </c>
      <c r="AX30" s="6">
        <f t="shared" si="6"/>
        <v>5.25</v>
      </c>
      <c r="AY30" s="9" t="str">
        <f t="shared" si="7"/>
        <v>Reg</v>
      </c>
      <c r="AZ30" s="9">
        <f t="shared" si="8"/>
        <v>7.25</v>
      </c>
      <c r="BA30" s="9" t="str">
        <f t="shared" si="9"/>
        <v>GoodReg</v>
      </c>
      <c r="BB30" s="9">
        <f t="shared" si="10"/>
        <v>7.25</v>
      </c>
      <c r="BC30" s="9" t="str">
        <f t="shared" si="11"/>
        <v>GoodReg</v>
      </c>
      <c r="BD30" s="84">
        <f t="shared" si="12"/>
        <v>2</v>
      </c>
      <c r="BE30" s="83">
        <f t="shared" si="13"/>
        <v>2</v>
      </c>
      <c r="BF30" t="str">
        <f t="shared" si="14"/>
        <v/>
      </c>
      <c r="BG30" s="91">
        <f>IF(O30="-","-",VLOOKUP($E30,CTPit!$E$10:$AW$75,BG$9,FALSE)-O30)</f>
        <v>0</v>
      </c>
      <c r="BH30" s="91">
        <f>IF(P30="-","-",VLOOKUP($E30,CTPit!$E$10:$AW$75,BH$9,FALSE)-P30)</f>
        <v>0</v>
      </c>
      <c r="BI30" s="91">
        <f>IF(Q30="-","-",VLOOKUP($E30,CTPit!$E$10:$AW$75,BI$9,FALSE)-Q30)</f>
        <v>0</v>
      </c>
      <c r="BJ30" s="91">
        <f>IF(R30="-","-",VLOOKUP($E30,CTPit!$E$10:$AW$75,BJ$9,FALSE)-R30)</f>
        <v>0</v>
      </c>
      <c r="BK30" s="91">
        <f>IF(S30="-","-",VLOOKUP($E30,CTPit!$E$10:$AW$75,BK$9,FALSE)-S30)</f>
        <v>0</v>
      </c>
      <c r="BL30" s="91">
        <f>IF(T30="-","-",VLOOKUP($E30,CTPit!$E$10:$AW$75,BL$9,FALSE)-T30)</f>
        <v>0</v>
      </c>
      <c r="BM30" s="91">
        <f>IF(U30="-","-",VLOOKUP($E30,CTPit!$E$10:$AW$75,BM$9,FALSE)-U30)</f>
        <v>1</v>
      </c>
      <c r="BN30" s="91">
        <f>IF(V30="-","-",VLOOKUP($E30,CTPit!$E$10:$AW$75,BN$9,FALSE)-V30)</f>
        <v>0</v>
      </c>
      <c r="BO30" s="91" t="str">
        <f>IF(W30="-","-",VLOOKUP($E30,CTPit!$E$10:$AW$75,BO$9,FALSE)-W30)</f>
        <v>-</v>
      </c>
      <c r="BP30" s="91" t="str">
        <f>IF(X30="-","-",VLOOKUP($E30,CTPit!$E$10:$AW$75,BP$9,FALSE)-X30)</f>
        <v>-</v>
      </c>
      <c r="BQ30" s="91">
        <f>IF(Y30="-","-",VLOOKUP($E30,CTPit!$E$10:$AW$75,BQ$9,FALSE)-Y30)</f>
        <v>0</v>
      </c>
      <c r="BR30" s="91">
        <f>IF(Z30="-","-",VLOOKUP($E30,CTPit!$E$10:$AW$75,BR$9,FALSE)-Z30)</f>
        <v>0</v>
      </c>
      <c r="BS30" s="91" t="str">
        <f>IF(AA30="-","-",VLOOKUP($E30,CTPit!$E$10:$AW$75,BS$9,FALSE)-AA30)</f>
        <v>-</v>
      </c>
      <c r="BT30" s="91" t="str">
        <f>IF(AB30="-","-",VLOOKUP($E30,CTPit!$E$10:$AW$75,BT$9,FALSE)-AB30)</f>
        <v>-</v>
      </c>
      <c r="BU30" s="91" t="str">
        <f>IF(AC30="-","-",VLOOKUP($E30,CTPit!$E$10:$AW$75,BU$9,FALSE)-AC30)</f>
        <v>-</v>
      </c>
      <c r="BV30" s="91" t="str">
        <f>IF(AD30="-","-",VLOOKUP($E30,CTPit!$E$10:$AW$75,BV$9,FALSE)-AD30)</f>
        <v>-</v>
      </c>
      <c r="BW30" s="91" t="str">
        <f>IF(AE30="-","-",VLOOKUP($E30,CTPit!$E$10:$AW$75,BW$9,FALSE)-AE30)</f>
        <v>-</v>
      </c>
      <c r="BX30" s="91" t="str">
        <f>IF(AF30="-","-",VLOOKUP($E30,CTPit!$E$10:$AW$75,BX$9,FALSE)-AF30)</f>
        <v>-</v>
      </c>
      <c r="BY30" s="91" t="str">
        <f>IF(AG30="-","-",VLOOKUP($E30,CTPit!$E$10:$AW$75,BY$9,FALSE)-AG30)</f>
        <v>-</v>
      </c>
      <c r="BZ30" s="91" t="str">
        <f>IF(AH30="-","-",VLOOKUP($E30,CTPit!$E$10:$AW$75,BZ$9,FALSE)-AH30)</f>
        <v>-</v>
      </c>
      <c r="CA30" s="91" t="str">
        <f>IF(AI30="-","-",VLOOKUP($E30,CTPit!$E$10:$AW$75,CA$9,FALSE)-AI30)</f>
        <v>-</v>
      </c>
      <c r="CB30" s="91" t="str">
        <f>IF(AJ30="-","-",VLOOKUP($E30,CTPit!$E$10:$AW$75,CB$9,FALSE)-AJ30)</f>
        <v>-</v>
      </c>
      <c r="CC30" s="91" t="str">
        <f>IF(AK30="-","-",VLOOKUP($E30,CTPit!$E$10:$AW$75,CC$9,FALSE)-AK30)</f>
        <v>-</v>
      </c>
      <c r="CD30" s="91" t="str">
        <f>IF(AL30="-","-",VLOOKUP($E30,CTPit!$E$10:$AW$75,CD$9,FALSE)-AL30)</f>
        <v>-</v>
      </c>
      <c r="CE30" s="91" t="str">
        <f>IF(AM30="-","-",VLOOKUP($E30,CTPit!$E$10:$AW$75,CE$9,FALSE)-AM30)</f>
        <v>-</v>
      </c>
      <c r="CF30" s="91" t="str">
        <f>IF(AN30="-","-",VLOOKUP($E30,CTPit!$E$10:$AW$75,CF$9,FALSE)-AN30)</f>
        <v>-</v>
      </c>
      <c r="CG30" s="91" t="str">
        <f>IF(AO30="-","-",VLOOKUP($E30,CTPit!$E$10:$AW$75,CG$9,FALSE)-AO30)</f>
        <v>-</v>
      </c>
      <c r="CH30" s="91" t="str">
        <f>IF(AP30="-","-",VLOOKUP($E30,CTPit!$E$10:$AW$75,CH$9,FALSE)-AP30)</f>
        <v>-</v>
      </c>
      <c r="CI30" s="91" t="str">
        <f>IF(AQ30="-","-",VLOOKUP($E30,CTPit!$E$10:$AW$75,CI$9,FALSE)-AQ30)</f>
        <v>-</v>
      </c>
      <c r="CJ30" s="91" t="str">
        <f>IF(AR30="-","-",VLOOKUP($E30,CTPit!$E$10:$AW$75,CJ$9,FALSE)-AR30)</f>
        <v>-</v>
      </c>
      <c r="CK30">
        <f t="shared" si="15"/>
        <v>1</v>
      </c>
    </row>
    <row r="31" spans="3:89">
      <c r="C31" t="str">
        <f t="shared" si="5"/>
        <v>K</v>
      </c>
      <c r="D31" t="s">
        <v>111</v>
      </c>
      <c r="E31" t="s">
        <v>512</v>
      </c>
      <c r="F31" t="s">
        <v>383</v>
      </c>
      <c r="G31" t="s">
        <v>327</v>
      </c>
      <c r="H31">
        <v>22</v>
      </c>
      <c r="I31" t="s">
        <v>107</v>
      </c>
      <c r="J31" s="220" t="s">
        <v>107</v>
      </c>
      <c r="K31" t="s">
        <v>47</v>
      </c>
      <c r="L31" t="s">
        <v>42</v>
      </c>
      <c r="M31" t="s">
        <v>230</v>
      </c>
      <c r="N31" s="220" t="s">
        <v>230</v>
      </c>
      <c r="O31">
        <v>6</v>
      </c>
      <c r="P31">
        <v>4</v>
      </c>
      <c r="Q31" s="220">
        <v>2</v>
      </c>
      <c r="R31">
        <v>6</v>
      </c>
      <c r="S31">
        <v>4</v>
      </c>
      <c r="T31" s="220">
        <v>4</v>
      </c>
      <c r="U31">
        <v>6</v>
      </c>
      <c r="V31">
        <v>7</v>
      </c>
      <c r="W31" t="s">
        <v>41</v>
      </c>
      <c r="X31" t="s">
        <v>41</v>
      </c>
      <c r="Y31">
        <v>5</v>
      </c>
      <c r="Z31">
        <v>6</v>
      </c>
      <c r="AA31">
        <v>5</v>
      </c>
      <c r="AB31">
        <v>6</v>
      </c>
      <c r="AC31" t="s">
        <v>41</v>
      </c>
      <c r="AD31" t="s">
        <v>41</v>
      </c>
      <c r="AE31">
        <v>6</v>
      </c>
      <c r="AF31">
        <v>6</v>
      </c>
      <c r="AG31" t="s">
        <v>41</v>
      </c>
      <c r="AH31" t="s">
        <v>41</v>
      </c>
      <c r="AI31">
        <v>5</v>
      </c>
      <c r="AJ31">
        <v>6</v>
      </c>
      <c r="AK31">
        <v>5</v>
      </c>
      <c r="AL31">
        <v>5</v>
      </c>
      <c r="AM31" t="s">
        <v>41</v>
      </c>
      <c r="AN31" t="s">
        <v>41</v>
      </c>
      <c r="AO31" t="s">
        <v>41</v>
      </c>
      <c r="AP31" t="s">
        <v>41</v>
      </c>
      <c r="AQ31" t="s">
        <v>41</v>
      </c>
      <c r="AR31" s="220" t="s">
        <v>41</v>
      </c>
      <c r="AS31" t="s">
        <v>15</v>
      </c>
      <c r="AT31">
        <v>4</v>
      </c>
      <c r="AU31" s="11">
        <v>0.53</v>
      </c>
      <c r="AV31" s="85" t="s">
        <v>41</v>
      </c>
      <c r="AW31" s="220">
        <v>0</v>
      </c>
      <c r="AX31" s="6">
        <f t="shared" si="6"/>
        <v>5</v>
      </c>
      <c r="AY31" s="9" t="str">
        <f t="shared" si="7"/>
        <v>Bench</v>
      </c>
      <c r="AZ31" s="9">
        <f t="shared" si="8"/>
        <v>5.666666666666667</v>
      </c>
      <c r="BA31" s="9" t="str">
        <f t="shared" si="9"/>
        <v>Reg</v>
      </c>
      <c r="BB31" s="9">
        <f t="shared" si="10"/>
        <v>5.666666666666667</v>
      </c>
      <c r="BC31" s="9" t="str">
        <f t="shared" si="11"/>
        <v>Reg</v>
      </c>
      <c r="BD31" s="84">
        <f t="shared" si="12"/>
        <v>6</v>
      </c>
      <c r="BE31" s="83">
        <f t="shared" si="13"/>
        <v>3.5</v>
      </c>
      <c r="BF31" t="str">
        <f t="shared" si="14"/>
        <v/>
      </c>
      <c r="BG31" s="91">
        <f>IF(O31="-","-",VLOOKUP($E31,CTPit!$E$10:$AW$75,BG$9,FALSE)-O31)</f>
        <v>0</v>
      </c>
      <c r="BH31" s="91">
        <f>IF(P31="-","-",VLOOKUP($E31,CTPit!$E$10:$AW$75,BH$9,FALSE)-P31)</f>
        <v>0</v>
      </c>
      <c r="BI31" s="91">
        <f>IF(Q31="-","-",VLOOKUP($E31,CTPit!$E$10:$AW$75,BI$9,FALSE)-Q31)</f>
        <v>0</v>
      </c>
      <c r="BJ31" s="91">
        <f>IF(R31="-","-",VLOOKUP($E31,CTPit!$E$10:$AW$75,BJ$9,FALSE)-R31)</f>
        <v>0</v>
      </c>
      <c r="BK31" s="91">
        <f>IF(S31="-","-",VLOOKUP($E31,CTPit!$E$10:$AW$75,BK$9,FALSE)-S31)</f>
        <v>0</v>
      </c>
      <c r="BL31" s="91">
        <f>IF(T31="-","-",VLOOKUP($E31,CTPit!$E$10:$AW$75,BL$9,FALSE)-T31)</f>
        <v>0</v>
      </c>
      <c r="BM31" s="91">
        <f>IF(U31="-","-",VLOOKUP($E31,CTPit!$E$10:$AW$75,BM$9,FALSE)-U31)</f>
        <v>0</v>
      </c>
      <c r="BN31" s="91">
        <f>IF(V31="-","-",VLOOKUP($E31,CTPit!$E$10:$AW$75,BN$9,FALSE)-V31)</f>
        <v>0</v>
      </c>
      <c r="BO31" s="91" t="str">
        <f>IF(W31="-","-",VLOOKUP($E31,CTPit!$E$10:$AW$75,BO$9,FALSE)-W31)</f>
        <v>-</v>
      </c>
      <c r="BP31" s="91" t="str">
        <f>IF(X31="-","-",VLOOKUP($E31,CTPit!$E$10:$AW$75,BP$9,FALSE)-X31)</f>
        <v>-</v>
      </c>
      <c r="BQ31" s="91">
        <f>IF(Y31="-","-",VLOOKUP($E31,CTPit!$E$10:$AW$75,BQ$9,FALSE)-Y31)</f>
        <v>1</v>
      </c>
      <c r="BR31" s="91">
        <f>IF(Z31="-","-",VLOOKUP($E31,CTPit!$E$10:$AW$75,BR$9,FALSE)-Z31)</f>
        <v>0</v>
      </c>
      <c r="BS31" s="91">
        <f>IF(AA31="-","-",VLOOKUP($E31,CTPit!$E$10:$AW$75,BS$9,FALSE)-AA31)</f>
        <v>0</v>
      </c>
      <c r="BT31" s="91">
        <f>IF(AB31="-","-",VLOOKUP($E31,CTPit!$E$10:$AW$75,BT$9,FALSE)-AB31)</f>
        <v>0</v>
      </c>
      <c r="BU31" s="91" t="str">
        <f>IF(AC31="-","-",VLOOKUP($E31,CTPit!$E$10:$AW$75,BU$9,FALSE)-AC31)</f>
        <v>-</v>
      </c>
      <c r="BV31" s="91" t="str">
        <f>IF(AD31="-","-",VLOOKUP($E31,CTPit!$E$10:$AW$75,BV$9,FALSE)-AD31)</f>
        <v>-</v>
      </c>
      <c r="BW31" s="91">
        <f>IF(AE31="-","-",VLOOKUP($E31,CTPit!$E$10:$AW$75,BW$9,FALSE)-AE31)</f>
        <v>0</v>
      </c>
      <c r="BX31" s="91">
        <f>IF(AF31="-","-",VLOOKUP($E31,CTPit!$E$10:$AW$75,BX$9,FALSE)-AF31)</f>
        <v>0</v>
      </c>
      <c r="BY31" s="91" t="str">
        <f>IF(AG31="-","-",VLOOKUP($E31,CTPit!$E$10:$AW$75,BY$9,FALSE)-AG31)</f>
        <v>-</v>
      </c>
      <c r="BZ31" s="91" t="str">
        <f>IF(AH31="-","-",VLOOKUP($E31,CTPit!$E$10:$AW$75,BZ$9,FALSE)-AH31)</f>
        <v>-</v>
      </c>
      <c r="CA31" s="91">
        <f>IF(AI31="-","-",VLOOKUP($E31,CTPit!$E$10:$AW$75,CA$9,FALSE)-AI31)</f>
        <v>0</v>
      </c>
      <c r="CB31" s="91">
        <f>IF(AJ31="-","-",VLOOKUP($E31,CTPit!$E$10:$AW$75,CB$9,FALSE)-AJ31)</f>
        <v>0</v>
      </c>
      <c r="CC31" s="91">
        <f>IF(AK31="-","-",VLOOKUP($E31,CTPit!$E$10:$AW$75,CC$9,FALSE)-AK31)</f>
        <v>0</v>
      </c>
      <c r="CD31" s="91">
        <f>IF(AL31="-","-",VLOOKUP($E31,CTPit!$E$10:$AW$75,CD$9,FALSE)-AL31)</f>
        <v>0</v>
      </c>
      <c r="CE31" s="91" t="str">
        <f>IF(AM31="-","-",VLOOKUP($E31,CTPit!$E$10:$AW$75,CE$9,FALSE)-AM31)</f>
        <v>-</v>
      </c>
      <c r="CF31" s="91" t="str">
        <f>IF(AN31="-","-",VLOOKUP($E31,CTPit!$E$10:$AW$75,CF$9,FALSE)-AN31)</f>
        <v>-</v>
      </c>
      <c r="CG31" s="91" t="str">
        <f>IF(AO31="-","-",VLOOKUP($E31,CTPit!$E$10:$AW$75,CG$9,FALSE)-AO31)</f>
        <v>-</v>
      </c>
      <c r="CH31" s="91" t="str">
        <f>IF(AP31="-","-",VLOOKUP($E31,CTPit!$E$10:$AW$75,CH$9,FALSE)-AP31)</f>
        <v>-</v>
      </c>
      <c r="CI31" s="91" t="str">
        <f>IF(AQ31="-","-",VLOOKUP($E31,CTPit!$E$10:$AW$75,CI$9,FALSE)-AQ31)</f>
        <v>-</v>
      </c>
      <c r="CJ31" s="91" t="str">
        <f>IF(AR31="-","-",VLOOKUP($E31,CTPit!$E$10:$AW$75,CJ$9,FALSE)-AR31)</f>
        <v>-</v>
      </c>
      <c r="CK31">
        <f t="shared" si="15"/>
        <v>1</v>
      </c>
    </row>
    <row r="32" spans="3:89">
      <c r="C32" t="str">
        <f t="shared" si="5"/>
        <v>K</v>
      </c>
      <c r="D32" t="s">
        <v>111</v>
      </c>
      <c r="E32" t="s">
        <v>514</v>
      </c>
      <c r="F32" t="s">
        <v>383</v>
      </c>
      <c r="G32" t="s">
        <v>327</v>
      </c>
      <c r="H32">
        <v>22</v>
      </c>
      <c r="I32" t="s">
        <v>107</v>
      </c>
      <c r="J32" s="220" t="s">
        <v>107</v>
      </c>
      <c r="K32" t="s">
        <v>47</v>
      </c>
      <c r="L32" t="s">
        <v>42</v>
      </c>
      <c r="M32" t="s">
        <v>229</v>
      </c>
      <c r="N32" s="220" t="s">
        <v>230</v>
      </c>
      <c r="O32">
        <v>5</v>
      </c>
      <c r="P32">
        <v>4</v>
      </c>
      <c r="Q32" s="220">
        <v>2</v>
      </c>
      <c r="R32">
        <v>6</v>
      </c>
      <c r="S32">
        <v>4</v>
      </c>
      <c r="T32" s="220">
        <v>4</v>
      </c>
      <c r="U32">
        <v>7</v>
      </c>
      <c r="V32">
        <v>7</v>
      </c>
      <c r="W32">
        <v>5</v>
      </c>
      <c r="X32">
        <v>5</v>
      </c>
      <c r="Y32" t="s">
        <v>41</v>
      </c>
      <c r="Z32" t="s">
        <v>41</v>
      </c>
      <c r="AA32" t="s">
        <v>41</v>
      </c>
      <c r="AB32" t="s">
        <v>41</v>
      </c>
      <c r="AC32" t="s">
        <v>41</v>
      </c>
      <c r="AD32" t="s">
        <v>41</v>
      </c>
      <c r="AE32">
        <v>5</v>
      </c>
      <c r="AF32">
        <v>5</v>
      </c>
      <c r="AG32" t="s">
        <v>41</v>
      </c>
      <c r="AH32" t="s">
        <v>41</v>
      </c>
      <c r="AI32">
        <v>6</v>
      </c>
      <c r="AJ32">
        <v>6</v>
      </c>
      <c r="AK32" t="s">
        <v>41</v>
      </c>
      <c r="AL32" t="s">
        <v>41</v>
      </c>
      <c r="AM32" t="s">
        <v>41</v>
      </c>
      <c r="AN32" t="s">
        <v>41</v>
      </c>
      <c r="AO32" t="s">
        <v>41</v>
      </c>
      <c r="AP32" t="s">
        <v>41</v>
      </c>
      <c r="AQ32" t="s">
        <v>41</v>
      </c>
      <c r="AR32" s="220" t="s">
        <v>41</v>
      </c>
      <c r="AS32" t="s">
        <v>14</v>
      </c>
      <c r="AT32">
        <v>6</v>
      </c>
      <c r="AU32" s="11">
        <v>0.54</v>
      </c>
      <c r="AV32" s="85" t="s">
        <v>41</v>
      </c>
      <c r="AW32" s="220">
        <v>0</v>
      </c>
      <c r="AX32" s="6">
        <f t="shared" si="6"/>
        <v>4.1666666666666661</v>
      </c>
      <c r="AY32" s="9" t="str">
        <f t="shared" si="7"/>
        <v>Bench</v>
      </c>
      <c r="AZ32" s="9">
        <f t="shared" si="8"/>
        <v>5.166666666666667</v>
      </c>
      <c r="BA32" s="9" t="str">
        <f t="shared" si="9"/>
        <v>Reg</v>
      </c>
      <c r="BB32" s="9">
        <f t="shared" si="10"/>
        <v>5.166666666666667</v>
      </c>
      <c r="BC32" s="9" t="str">
        <f t="shared" si="11"/>
        <v>Reg</v>
      </c>
      <c r="BD32" s="84">
        <f t="shared" si="12"/>
        <v>4</v>
      </c>
      <c r="BE32" s="83">
        <f t="shared" si="13"/>
        <v>2</v>
      </c>
      <c r="BF32" t="str">
        <f t="shared" si="14"/>
        <v/>
      </c>
      <c r="BG32" s="91">
        <f>IF(O32="-","-",VLOOKUP($E32,CTPit!$E$10:$AW$75,BG$9,FALSE)-O32)</f>
        <v>1</v>
      </c>
      <c r="BH32" s="91">
        <f>IF(P32="-","-",VLOOKUP($E32,CTPit!$E$10:$AW$75,BH$9,FALSE)-P32)</f>
        <v>0</v>
      </c>
      <c r="BI32" s="91">
        <f>IF(Q32="-","-",VLOOKUP($E32,CTPit!$E$10:$AW$75,BI$9,FALSE)-Q32)</f>
        <v>0</v>
      </c>
      <c r="BJ32" s="91">
        <f>IF(R32="-","-",VLOOKUP($E32,CTPit!$E$10:$AW$75,BJ$9,FALSE)-R32)</f>
        <v>0</v>
      </c>
      <c r="BK32" s="91">
        <f>IF(S32="-","-",VLOOKUP($E32,CTPit!$E$10:$AW$75,BK$9,FALSE)-S32)</f>
        <v>0</v>
      </c>
      <c r="BL32" s="91">
        <f>IF(T32="-","-",VLOOKUP($E32,CTPit!$E$10:$AW$75,BL$9,FALSE)-T32)</f>
        <v>0</v>
      </c>
      <c r="BM32" s="91">
        <f>IF(U32="-","-",VLOOKUP($E32,CTPit!$E$10:$AW$75,BM$9,FALSE)-U32)</f>
        <v>0</v>
      </c>
      <c r="BN32" s="91">
        <f>IF(V32="-","-",VLOOKUP($E32,CTPit!$E$10:$AW$75,BN$9,FALSE)-V32)</f>
        <v>0</v>
      </c>
      <c r="BO32" s="91">
        <f>IF(W32="-","-",VLOOKUP($E32,CTPit!$E$10:$AW$75,BO$9,FALSE)-W32)</f>
        <v>0</v>
      </c>
      <c r="BP32" s="91">
        <f>IF(X32="-","-",VLOOKUP($E32,CTPit!$E$10:$AW$75,BP$9,FALSE)-X32)</f>
        <v>0</v>
      </c>
      <c r="BQ32" s="91" t="str">
        <f>IF(Y32="-","-",VLOOKUP($E32,CTPit!$E$10:$AW$75,BQ$9,FALSE)-Y32)</f>
        <v>-</v>
      </c>
      <c r="BR32" s="91" t="str">
        <f>IF(Z32="-","-",VLOOKUP($E32,CTPit!$E$10:$AW$75,BR$9,FALSE)-Z32)</f>
        <v>-</v>
      </c>
      <c r="BS32" s="91" t="str">
        <f>IF(AA32="-","-",VLOOKUP($E32,CTPit!$E$10:$AW$75,BS$9,FALSE)-AA32)</f>
        <v>-</v>
      </c>
      <c r="BT32" s="91" t="str">
        <f>IF(AB32="-","-",VLOOKUP($E32,CTPit!$E$10:$AW$75,BT$9,FALSE)-AB32)</f>
        <v>-</v>
      </c>
      <c r="BU32" s="91" t="str">
        <f>IF(AC32="-","-",VLOOKUP($E32,CTPit!$E$10:$AW$75,BU$9,FALSE)-AC32)</f>
        <v>-</v>
      </c>
      <c r="BV32" s="91" t="str">
        <f>IF(AD32="-","-",VLOOKUP($E32,CTPit!$E$10:$AW$75,BV$9,FALSE)-AD32)</f>
        <v>-</v>
      </c>
      <c r="BW32" s="91">
        <f>IF(AE32="-","-",VLOOKUP($E32,CTPit!$E$10:$AW$75,BW$9,FALSE)-AE32)</f>
        <v>0</v>
      </c>
      <c r="BX32" s="91">
        <f>IF(AF32="-","-",VLOOKUP($E32,CTPit!$E$10:$AW$75,BX$9,FALSE)-AF32)</f>
        <v>0</v>
      </c>
      <c r="BY32" s="91" t="str">
        <f>IF(AG32="-","-",VLOOKUP($E32,CTPit!$E$10:$AW$75,BY$9,FALSE)-AG32)</f>
        <v>-</v>
      </c>
      <c r="BZ32" s="91" t="str">
        <f>IF(AH32="-","-",VLOOKUP($E32,CTPit!$E$10:$AW$75,BZ$9,FALSE)-AH32)</f>
        <v>-</v>
      </c>
      <c r="CA32" s="91">
        <f>IF(AI32="-","-",VLOOKUP($E32,CTPit!$E$10:$AW$75,CA$9,FALSE)-AI32)</f>
        <v>0</v>
      </c>
      <c r="CB32" s="91">
        <f>IF(AJ32="-","-",VLOOKUP($E32,CTPit!$E$10:$AW$75,CB$9,FALSE)-AJ32)</f>
        <v>0</v>
      </c>
      <c r="CC32" s="91" t="str">
        <f>IF(AK32="-","-",VLOOKUP($E32,CTPit!$E$10:$AW$75,CC$9,FALSE)-AK32)</f>
        <v>-</v>
      </c>
      <c r="CD32" s="91" t="str">
        <f>IF(AL32="-","-",VLOOKUP($E32,CTPit!$E$10:$AW$75,CD$9,FALSE)-AL32)</f>
        <v>-</v>
      </c>
      <c r="CE32" s="91" t="str">
        <f>IF(AM32="-","-",VLOOKUP($E32,CTPit!$E$10:$AW$75,CE$9,FALSE)-AM32)</f>
        <v>-</v>
      </c>
      <c r="CF32" s="91" t="str">
        <f>IF(AN32="-","-",VLOOKUP($E32,CTPit!$E$10:$AW$75,CF$9,FALSE)-AN32)</f>
        <v>-</v>
      </c>
      <c r="CG32" s="91" t="str">
        <f>IF(AO32="-","-",VLOOKUP($E32,CTPit!$E$10:$AW$75,CG$9,FALSE)-AO32)</f>
        <v>-</v>
      </c>
      <c r="CH32" s="91" t="str">
        <f>IF(AP32="-","-",VLOOKUP($E32,CTPit!$E$10:$AW$75,CH$9,FALSE)-AP32)</f>
        <v>-</v>
      </c>
      <c r="CI32" s="91" t="str">
        <f>IF(AQ32="-","-",VLOOKUP($E32,CTPit!$E$10:$AW$75,CI$9,FALSE)-AQ32)</f>
        <v>-</v>
      </c>
      <c r="CJ32" s="91" t="str">
        <f>IF(AR32="-","-",VLOOKUP($E32,CTPit!$E$10:$AW$75,CJ$9,FALSE)-AR32)</f>
        <v>-</v>
      </c>
      <c r="CK32">
        <f t="shared" si="15"/>
        <v>1</v>
      </c>
    </row>
    <row r="33" spans="3:89">
      <c r="C33" t="str">
        <f t="shared" si="5"/>
        <v>K</v>
      </c>
      <c r="D33" t="s">
        <v>111</v>
      </c>
      <c r="E33" t="s">
        <v>4</v>
      </c>
      <c r="F33" t="s">
        <v>25</v>
      </c>
      <c r="G33" t="s">
        <v>212</v>
      </c>
      <c r="H33">
        <v>25</v>
      </c>
      <c r="I33" t="s">
        <v>107</v>
      </c>
      <c r="J33" s="220" t="s">
        <v>107</v>
      </c>
      <c r="K33" t="s">
        <v>48</v>
      </c>
      <c r="L33" t="s">
        <v>44</v>
      </c>
      <c r="M33" t="s">
        <v>228</v>
      </c>
      <c r="N33" s="220" t="s">
        <v>229</v>
      </c>
      <c r="O33">
        <v>8</v>
      </c>
      <c r="P33">
        <v>7</v>
      </c>
      <c r="Q33" s="220">
        <v>8</v>
      </c>
      <c r="R33">
        <v>8</v>
      </c>
      <c r="S33">
        <v>7</v>
      </c>
      <c r="T33" s="220">
        <v>8</v>
      </c>
      <c r="U33">
        <v>8</v>
      </c>
      <c r="V33">
        <v>8</v>
      </c>
      <c r="W33">
        <v>8</v>
      </c>
      <c r="X33">
        <v>8</v>
      </c>
      <c r="Y33" t="s">
        <v>41</v>
      </c>
      <c r="Z33" t="s">
        <v>41</v>
      </c>
      <c r="AA33">
        <v>8</v>
      </c>
      <c r="AB33">
        <v>8</v>
      </c>
      <c r="AC33">
        <v>7</v>
      </c>
      <c r="AD33">
        <v>7</v>
      </c>
      <c r="AE33" t="s">
        <v>41</v>
      </c>
      <c r="AF33" t="s">
        <v>41</v>
      </c>
      <c r="AG33" t="s">
        <v>41</v>
      </c>
      <c r="AH33" t="s">
        <v>41</v>
      </c>
      <c r="AI33" t="s">
        <v>41</v>
      </c>
      <c r="AJ33" t="s">
        <v>41</v>
      </c>
      <c r="AK33">
        <v>2</v>
      </c>
      <c r="AL33">
        <v>2</v>
      </c>
      <c r="AM33" t="s">
        <v>41</v>
      </c>
      <c r="AN33" t="s">
        <v>41</v>
      </c>
      <c r="AO33" t="s">
        <v>41</v>
      </c>
      <c r="AP33" t="s">
        <v>41</v>
      </c>
      <c r="AQ33" t="s">
        <v>41</v>
      </c>
      <c r="AR33" s="220" t="s">
        <v>41</v>
      </c>
      <c r="AS33" t="s">
        <v>5</v>
      </c>
      <c r="AT33">
        <v>7</v>
      </c>
      <c r="AU33" s="11">
        <v>0.6</v>
      </c>
      <c r="AV33" s="85">
        <v>8750000</v>
      </c>
      <c r="AW33" s="220" t="s">
        <v>46</v>
      </c>
      <c r="AX33" s="6">
        <f t="shared" si="6"/>
        <v>8.6666666666666679</v>
      </c>
      <c r="AY33" s="9" t="str">
        <f t="shared" si="7"/>
        <v>Star</v>
      </c>
      <c r="AZ33" s="9">
        <f t="shared" si="8"/>
        <v>8.6666666666666679</v>
      </c>
      <c r="BA33" s="9" t="str">
        <f t="shared" si="9"/>
        <v>Star</v>
      </c>
      <c r="BB33" s="9">
        <f t="shared" si="10"/>
        <v>8.6666666666666679</v>
      </c>
      <c r="BC33" s="9" t="str">
        <f t="shared" si="11"/>
        <v>Star</v>
      </c>
      <c r="BD33" s="84">
        <f t="shared" si="12"/>
        <v>5</v>
      </c>
      <c r="BE33" s="83">
        <f t="shared" si="13"/>
        <v>4</v>
      </c>
      <c r="BF33" t="str">
        <f t="shared" si="14"/>
        <v/>
      </c>
      <c r="BG33" s="91">
        <f>IF(O33="-","-",VLOOKUP($E33,CTPit!$E$10:$AW$75,BG$9,FALSE)-O33)</f>
        <v>0</v>
      </c>
      <c r="BH33" s="91">
        <f>IF(P33="-","-",VLOOKUP($E33,CTPit!$E$10:$AW$75,BH$9,FALSE)-P33)</f>
        <v>0</v>
      </c>
      <c r="BI33" s="91">
        <f>IF(Q33="-","-",VLOOKUP($E33,CTPit!$E$10:$AW$75,BI$9,FALSE)-Q33)</f>
        <v>0</v>
      </c>
      <c r="BJ33" s="91">
        <f>IF(R33="-","-",VLOOKUP($E33,CTPit!$E$10:$AW$75,BJ$9,FALSE)-R33)</f>
        <v>0</v>
      </c>
      <c r="BK33" s="91">
        <f>IF(S33="-","-",VLOOKUP($E33,CTPit!$E$10:$AW$75,BK$9,FALSE)-S33)</f>
        <v>0</v>
      </c>
      <c r="BL33" s="91">
        <f>IF(T33="-","-",VLOOKUP($E33,CTPit!$E$10:$AW$75,BL$9,FALSE)-T33)</f>
        <v>0</v>
      </c>
      <c r="BM33" s="91">
        <f>IF(U33="-","-",VLOOKUP($E33,CTPit!$E$10:$AW$75,BM$9,FALSE)-U33)</f>
        <v>0</v>
      </c>
      <c r="BN33" s="91">
        <f>IF(V33="-","-",VLOOKUP($E33,CTPit!$E$10:$AW$75,BN$9,FALSE)-V33)</f>
        <v>0</v>
      </c>
      <c r="BO33" s="91">
        <f>IF(W33="-","-",VLOOKUP($E33,CTPit!$E$10:$AW$75,BO$9,FALSE)-W33)</f>
        <v>0</v>
      </c>
      <c r="BP33" s="91">
        <f>IF(X33="-","-",VLOOKUP($E33,CTPit!$E$10:$AW$75,BP$9,FALSE)-X33)</f>
        <v>0</v>
      </c>
      <c r="BQ33" s="91" t="str">
        <f>IF(Y33="-","-",VLOOKUP($E33,CTPit!$E$10:$AW$75,BQ$9,FALSE)-Y33)</f>
        <v>-</v>
      </c>
      <c r="BR33" s="91" t="str">
        <f>IF(Z33="-","-",VLOOKUP($E33,CTPit!$E$10:$AW$75,BR$9,FALSE)-Z33)</f>
        <v>-</v>
      </c>
      <c r="BS33" s="91">
        <f>IF(AA33="-","-",VLOOKUP($E33,CTPit!$E$10:$AW$75,BS$9,FALSE)-AA33)</f>
        <v>0</v>
      </c>
      <c r="BT33" s="91">
        <f>IF(AB33="-","-",VLOOKUP($E33,CTPit!$E$10:$AW$75,BT$9,FALSE)-AB33)</f>
        <v>0</v>
      </c>
      <c r="BU33" s="91">
        <f>IF(AC33="-","-",VLOOKUP($E33,CTPit!$E$10:$AW$75,BU$9,FALSE)-AC33)</f>
        <v>0</v>
      </c>
      <c r="BV33" s="91">
        <f>IF(AD33="-","-",VLOOKUP($E33,CTPit!$E$10:$AW$75,BV$9,FALSE)-AD33)</f>
        <v>0</v>
      </c>
      <c r="BW33" s="91" t="str">
        <f>IF(AE33="-","-",VLOOKUP($E33,CTPit!$E$10:$AW$75,BW$9,FALSE)-AE33)</f>
        <v>-</v>
      </c>
      <c r="BX33" s="91" t="str">
        <f>IF(AF33="-","-",VLOOKUP($E33,CTPit!$E$10:$AW$75,BX$9,FALSE)-AF33)</f>
        <v>-</v>
      </c>
      <c r="BY33" s="91" t="str">
        <f>IF(AG33="-","-",VLOOKUP($E33,CTPit!$E$10:$AW$75,BY$9,FALSE)-AG33)</f>
        <v>-</v>
      </c>
      <c r="BZ33" s="91" t="str">
        <f>IF(AH33="-","-",VLOOKUP($E33,CTPit!$E$10:$AW$75,BZ$9,FALSE)-AH33)</f>
        <v>-</v>
      </c>
      <c r="CA33" s="91" t="str">
        <f>IF(AI33="-","-",VLOOKUP($E33,CTPit!$E$10:$AW$75,CA$9,FALSE)-AI33)</f>
        <v>-</v>
      </c>
      <c r="CB33" s="91" t="str">
        <f>IF(AJ33="-","-",VLOOKUP($E33,CTPit!$E$10:$AW$75,CB$9,FALSE)-AJ33)</f>
        <v>-</v>
      </c>
      <c r="CC33" s="91">
        <f>IF(AK33="-","-",VLOOKUP($E33,CTPit!$E$10:$AW$75,CC$9,FALSE)-AK33)</f>
        <v>0</v>
      </c>
      <c r="CD33" s="91">
        <f>IF(AL33="-","-",VLOOKUP($E33,CTPit!$E$10:$AW$75,CD$9,FALSE)-AL33)</f>
        <v>0</v>
      </c>
      <c r="CE33" s="91" t="str">
        <f>IF(AM33="-","-",VLOOKUP($E33,CTPit!$E$10:$AW$75,CE$9,FALSE)-AM33)</f>
        <v>-</v>
      </c>
      <c r="CF33" s="91" t="str">
        <f>IF(AN33="-","-",VLOOKUP($E33,CTPit!$E$10:$AW$75,CF$9,FALSE)-AN33)</f>
        <v>-</v>
      </c>
      <c r="CG33" s="91" t="str">
        <f>IF(AO33="-","-",VLOOKUP($E33,CTPit!$E$10:$AW$75,CG$9,FALSE)-AO33)</f>
        <v>-</v>
      </c>
      <c r="CH33" s="91" t="str">
        <f>IF(AP33="-","-",VLOOKUP($E33,CTPit!$E$10:$AW$75,CH$9,FALSE)-AP33)</f>
        <v>-</v>
      </c>
      <c r="CI33" s="91" t="str">
        <f>IF(AQ33="-","-",VLOOKUP($E33,CTPit!$E$10:$AW$75,CI$9,FALSE)-AQ33)</f>
        <v>-</v>
      </c>
      <c r="CJ33" s="91" t="str">
        <f>IF(AR33="-","-",VLOOKUP($E33,CTPit!$E$10:$AW$75,CJ$9,FALSE)-AR33)</f>
        <v>-</v>
      </c>
      <c r="CK33">
        <f t="shared" si="15"/>
        <v>0</v>
      </c>
    </row>
    <row r="34" spans="3:89">
      <c r="C34" t="str">
        <f t="shared" si="5"/>
        <v>K</v>
      </c>
      <c r="D34" t="s">
        <v>111</v>
      </c>
      <c r="E34" t="s">
        <v>347</v>
      </c>
      <c r="F34" t="s">
        <v>25</v>
      </c>
      <c r="G34" t="s">
        <v>212</v>
      </c>
      <c r="H34">
        <v>25</v>
      </c>
      <c r="I34" t="s">
        <v>107</v>
      </c>
      <c r="J34" s="220" t="s">
        <v>107</v>
      </c>
      <c r="K34" t="s">
        <v>40</v>
      </c>
      <c r="L34" t="s">
        <v>48</v>
      </c>
      <c r="M34" t="s">
        <v>229</v>
      </c>
      <c r="N34" s="220" t="s">
        <v>229</v>
      </c>
      <c r="O34">
        <v>8</v>
      </c>
      <c r="P34">
        <v>6</v>
      </c>
      <c r="Q34" s="220">
        <v>6</v>
      </c>
      <c r="R34">
        <v>8</v>
      </c>
      <c r="S34">
        <v>6</v>
      </c>
      <c r="T34" s="220">
        <v>6</v>
      </c>
      <c r="U34">
        <v>9</v>
      </c>
      <c r="V34">
        <v>9</v>
      </c>
      <c r="W34">
        <v>8</v>
      </c>
      <c r="X34">
        <v>8</v>
      </c>
      <c r="Y34" t="s">
        <v>41</v>
      </c>
      <c r="Z34" t="s">
        <v>41</v>
      </c>
      <c r="AA34">
        <v>8</v>
      </c>
      <c r="AB34">
        <v>8</v>
      </c>
      <c r="AC34" t="s">
        <v>41</v>
      </c>
      <c r="AD34" t="s">
        <v>41</v>
      </c>
      <c r="AE34">
        <v>5</v>
      </c>
      <c r="AF34">
        <v>5</v>
      </c>
      <c r="AG34" t="s">
        <v>41</v>
      </c>
      <c r="AH34" t="s">
        <v>41</v>
      </c>
      <c r="AI34" t="s">
        <v>41</v>
      </c>
      <c r="AJ34" t="s">
        <v>41</v>
      </c>
      <c r="AK34" t="s">
        <v>41</v>
      </c>
      <c r="AL34" t="s">
        <v>41</v>
      </c>
      <c r="AM34" t="s">
        <v>41</v>
      </c>
      <c r="AN34" t="s">
        <v>41</v>
      </c>
      <c r="AO34" t="s">
        <v>41</v>
      </c>
      <c r="AP34" t="s">
        <v>41</v>
      </c>
      <c r="AQ34" t="s">
        <v>41</v>
      </c>
      <c r="AR34" s="220" t="s">
        <v>41</v>
      </c>
      <c r="AS34" t="s">
        <v>252</v>
      </c>
      <c r="AT34">
        <v>8</v>
      </c>
      <c r="AU34" s="11">
        <v>0.38</v>
      </c>
      <c r="AV34" s="85">
        <v>1900000</v>
      </c>
      <c r="AW34" s="220" t="s">
        <v>45</v>
      </c>
      <c r="AX34" s="6">
        <f t="shared" si="6"/>
        <v>7.166666666666667</v>
      </c>
      <c r="AY34" s="9" t="str">
        <f t="shared" si="7"/>
        <v>GoodReg</v>
      </c>
      <c r="AZ34" s="9">
        <f t="shared" si="8"/>
        <v>7.166666666666667</v>
      </c>
      <c r="BA34" s="9" t="str">
        <f t="shared" si="9"/>
        <v>GoodReg</v>
      </c>
      <c r="BB34" s="9">
        <f t="shared" si="10"/>
        <v>7.166666666666667</v>
      </c>
      <c r="BC34" s="9" t="str">
        <f t="shared" si="11"/>
        <v>GoodReg</v>
      </c>
      <c r="BD34" s="84">
        <f t="shared" si="12"/>
        <v>4</v>
      </c>
      <c r="BE34" s="83">
        <f t="shared" si="13"/>
        <v>3</v>
      </c>
      <c r="BF34" t="str">
        <f t="shared" si="14"/>
        <v/>
      </c>
      <c r="BG34" s="91">
        <f>IF(O34="-","-",VLOOKUP($E34,CTPit!$E$10:$AW$75,BG$9,FALSE)-O34)</f>
        <v>0</v>
      </c>
      <c r="BH34" s="91">
        <f>IF(P34="-","-",VLOOKUP($E34,CTPit!$E$10:$AW$75,BH$9,FALSE)-P34)</f>
        <v>0</v>
      </c>
      <c r="BI34" s="91">
        <f>IF(Q34="-","-",VLOOKUP($E34,CTPit!$E$10:$AW$75,BI$9,FALSE)-Q34)</f>
        <v>0</v>
      </c>
      <c r="BJ34" s="91">
        <f>IF(R34="-","-",VLOOKUP($E34,CTPit!$E$10:$AW$75,BJ$9,FALSE)-R34)</f>
        <v>0</v>
      </c>
      <c r="BK34" s="91">
        <f>IF(S34="-","-",VLOOKUP($E34,CTPit!$E$10:$AW$75,BK$9,FALSE)-S34)</f>
        <v>0</v>
      </c>
      <c r="BL34" s="91">
        <f>IF(T34="-","-",VLOOKUP($E34,CTPit!$E$10:$AW$75,BL$9,FALSE)-T34)</f>
        <v>0</v>
      </c>
      <c r="BM34" s="91">
        <f>IF(U34="-","-",VLOOKUP($E34,CTPit!$E$10:$AW$75,BM$9,FALSE)-U34)</f>
        <v>0</v>
      </c>
      <c r="BN34" s="91">
        <f>IF(V34="-","-",VLOOKUP($E34,CTPit!$E$10:$AW$75,BN$9,FALSE)-V34)</f>
        <v>0</v>
      </c>
      <c r="BO34" s="91">
        <f>IF(W34="-","-",VLOOKUP($E34,CTPit!$E$10:$AW$75,BO$9,FALSE)-W34)</f>
        <v>0</v>
      </c>
      <c r="BP34" s="91">
        <f>IF(X34="-","-",VLOOKUP($E34,CTPit!$E$10:$AW$75,BP$9,FALSE)-X34)</f>
        <v>0</v>
      </c>
      <c r="BQ34" s="91" t="str">
        <f>IF(Y34="-","-",VLOOKUP($E34,CTPit!$E$10:$AW$75,BQ$9,FALSE)-Y34)</f>
        <v>-</v>
      </c>
      <c r="BR34" s="91" t="str">
        <f>IF(Z34="-","-",VLOOKUP($E34,CTPit!$E$10:$AW$75,BR$9,FALSE)-Z34)</f>
        <v>-</v>
      </c>
      <c r="BS34" s="91">
        <f>IF(AA34="-","-",VLOOKUP($E34,CTPit!$E$10:$AW$75,BS$9,FALSE)-AA34)</f>
        <v>0</v>
      </c>
      <c r="BT34" s="91">
        <f>IF(AB34="-","-",VLOOKUP($E34,CTPit!$E$10:$AW$75,BT$9,FALSE)-AB34)</f>
        <v>0</v>
      </c>
      <c r="BU34" s="91" t="str">
        <f>IF(AC34="-","-",VLOOKUP($E34,CTPit!$E$10:$AW$75,BU$9,FALSE)-AC34)</f>
        <v>-</v>
      </c>
      <c r="BV34" s="91" t="str">
        <f>IF(AD34="-","-",VLOOKUP($E34,CTPit!$E$10:$AW$75,BV$9,FALSE)-AD34)</f>
        <v>-</v>
      </c>
      <c r="BW34" s="91">
        <f>IF(AE34="-","-",VLOOKUP($E34,CTPit!$E$10:$AW$75,BW$9,FALSE)-AE34)</f>
        <v>0</v>
      </c>
      <c r="BX34" s="91">
        <f>IF(AF34="-","-",VLOOKUP($E34,CTPit!$E$10:$AW$75,BX$9,FALSE)-AF34)</f>
        <v>0</v>
      </c>
      <c r="BY34" s="91" t="str">
        <f>IF(AG34="-","-",VLOOKUP($E34,CTPit!$E$10:$AW$75,BY$9,FALSE)-AG34)</f>
        <v>-</v>
      </c>
      <c r="BZ34" s="91" t="str">
        <f>IF(AH34="-","-",VLOOKUP($E34,CTPit!$E$10:$AW$75,BZ$9,FALSE)-AH34)</f>
        <v>-</v>
      </c>
      <c r="CA34" s="91" t="str">
        <f>IF(AI34="-","-",VLOOKUP($E34,CTPit!$E$10:$AW$75,CA$9,FALSE)-AI34)</f>
        <v>-</v>
      </c>
      <c r="CB34" s="91" t="str">
        <f>IF(AJ34="-","-",VLOOKUP($E34,CTPit!$E$10:$AW$75,CB$9,FALSE)-AJ34)</f>
        <v>-</v>
      </c>
      <c r="CC34" s="91" t="str">
        <f>IF(AK34="-","-",VLOOKUP($E34,CTPit!$E$10:$AW$75,CC$9,FALSE)-AK34)</f>
        <v>-</v>
      </c>
      <c r="CD34" s="91" t="str">
        <f>IF(AL34="-","-",VLOOKUP($E34,CTPit!$E$10:$AW$75,CD$9,FALSE)-AL34)</f>
        <v>-</v>
      </c>
      <c r="CE34" s="91" t="str">
        <f>IF(AM34="-","-",VLOOKUP($E34,CTPit!$E$10:$AW$75,CE$9,FALSE)-AM34)</f>
        <v>-</v>
      </c>
      <c r="CF34" s="91" t="str">
        <f>IF(AN34="-","-",VLOOKUP($E34,CTPit!$E$10:$AW$75,CF$9,FALSE)-AN34)</f>
        <v>-</v>
      </c>
      <c r="CG34" s="91" t="str">
        <f>IF(AO34="-","-",VLOOKUP($E34,CTPit!$E$10:$AW$75,CG$9,FALSE)-AO34)</f>
        <v>-</v>
      </c>
      <c r="CH34" s="91" t="str">
        <f>IF(AP34="-","-",VLOOKUP($E34,CTPit!$E$10:$AW$75,CH$9,FALSE)-AP34)</f>
        <v>-</v>
      </c>
      <c r="CI34" s="91" t="str">
        <f>IF(AQ34="-","-",VLOOKUP($E34,CTPit!$E$10:$AW$75,CI$9,FALSE)-AQ34)</f>
        <v>-</v>
      </c>
      <c r="CJ34" s="91" t="str">
        <f>IF(AR34="-","-",VLOOKUP($E34,CTPit!$E$10:$AW$75,CJ$9,FALSE)-AR34)</f>
        <v>-</v>
      </c>
      <c r="CK34">
        <f t="shared" si="15"/>
        <v>0</v>
      </c>
    </row>
    <row r="35" spans="3:89">
      <c r="C35" t="str">
        <f t="shared" si="5"/>
        <v>K</v>
      </c>
      <c r="D35" t="s">
        <v>112</v>
      </c>
      <c r="E35" t="s">
        <v>16</v>
      </c>
      <c r="F35" t="s">
        <v>25</v>
      </c>
      <c r="G35" t="s">
        <v>212</v>
      </c>
      <c r="H35">
        <v>27</v>
      </c>
      <c r="I35" t="s">
        <v>106</v>
      </c>
      <c r="J35" s="220" t="s">
        <v>107</v>
      </c>
      <c r="K35" t="s">
        <v>40</v>
      </c>
      <c r="L35" t="s">
        <v>48</v>
      </c>
      <c r="M35" t="s">
        <v>229</v>
      </c>
      <c r="N35" s="220" t="s">
        <v>230</v>
      </c>
      <c r="O35">
        <v>8</v>
      </c>
      <c r="P35">
        <v>6</v>
      </c>
      <c r="Q35" s="220">
        <v>6</v>
      </c>
      <c r="R35">
        <v>8</v>
      </c>
      <c r="S35">
        <v>6</v>
      </c>
      <c r="T35" s="220">
        <v>7</v>
      </c>
      <c r="U35">
        <v>8</v>
      </c>
      <c r="V35">
        <v>8</v>
      </c>
      <c r="W35">
        <v>1</v>
      </c>
      <c r="X35">
        <v>1</v>
      </c>
      <c r="Y35" t="s">
        <v>41</v>
      </c>
      <c r="Z35" t="s">
        <v>41</v>
      </c>
      <c r="AA35">
        <v>8</v>
      </c>
      <c r="AB35">
        <v>8</v>
      </c>
      <c r="AC35" t="s">
        <v>41</v>
      </c>
      <c r="AD35" t="s">
        <v>41</v>
      </c>
      <c r="AE35" t="s">
        <v>41</v>
      </c>
      <c r="AF35" t="s">
        <v>41</v>
      </c>
      <c r="AG35" t="s">
        <v>41</v>
      </c>
      <c r="AH35" t="s">
        <v>41</v>
      </c>
      <c r="AI35" t="s">
        <v>41</v>
      </c>
      <c r="AJ35" t="s">
        <v>41</v>
      </c>
      <c r="AK35" t="s">
        <v>41</v>
      </c>
      <c r="AL35" t="s">
        <v>41</v>
      </c>
      <c r="AM35" t="s">
        <v>41</v>
      </c>
      <c r="AN35" t="s">
        <v>41</v>
      </c>
      <c r="AO35" t="s">
        <v>41</v>
      </c>
      <c r="AP35" t="s">
        <v>41</v>
      </c>
      <c r="AQ35" t="s">
        <v>41</v>
      </c>
      <c r="AR35" s="220" t="s">
        <v>41</v>
      </c>
      <c r="AS35" t="s">
        <v>5</v>
      </c>
      <c r="AT35">
        <v>4</v>
      </c>
      <c r="AU35" s="11">
        <v>0.36</v>
      </c>
      <c r="AV35" s="85">
        <v>490000</v>
      </c>
      <c r="AW35" s="220" t="s">
        <v>45</v>
      </c>
      <c r="AX35" s="6">
        <f t="shared" si="6"/>
        <v>6.916666666666667</v>
      </c>
      <c r="AY35" s="9" t="str">
        <f t="shared" si="7"/>
        <v>GoodReg</v>
      </c>
      <c r="AZ35" s="9">
        <f t="shared" si="8"/>
        <v>7.25</v>
      </c>
      <c r="BA35" s="9" t="str">
        <f t="shared" si="9"/>
        <v>GoodReg</v>
      </c>
      <c r="BB35" s="9">
        <f t="shared" si="10"/>
        <v>7.25</v>
      </c>
      <c r="BC35" s="9" t="str">
        <f t="shared" si="11"/>
        <v>GoodReg</v>
      </c>
      <c r="BD35" s="84">
        <f t="shared" si="12"/>
        <v>3</v>
      </c>
      <c r="BE35" s="83">
        <f t="shared" si="13"/>
        <v>2</v>
      </c>
      <c r="BF35" t="str">
        <f t="shared" si="14"/>
        <v/>
      </c>
      <c r="BG35" s="91">
        <f>IF(O35="-","-",VLOOKUP($E35,CTPit!$E$10:$AW$75,BG$9,FALSE)-O35)</f>
        <v>0</v>
      </c>
      <c r="BH35" s="91">
        <f>IF(P35="-","-",VLOOKUP($E35,CTPit!$E$10:$AW$75,BH$9,FALSE)-P35)</f>
        <v>0</v>
      </c>
      <c r="BI35" s="91">
        <f>IF(Q35="-","-",VLOOKUP($E35,CTPit!$E$10:$AW$75,BI$9,FALSE)-Q35)</f>
        <v>0</v>
      </c>
      <c r="BJ35" s="91">
        <f>IF(R35="-","-",VLOOKUP($E35,CTPit!$E$10:$AW$75,BJ$9,FALSE)-R35)</f>
        <v>0</v>
      </c>
      <c r="BK35" s="91">
        <f>IF(S35="-","-",VLOOKUP($E35,CTPit!$E$10:$AW$75,BK$9,FALSE)-S35)</f>
        <v>0</v>
      </c>
      <c r="BL35" s="91">
        <f>IF(T35="-","-",VLOOKUP($E35,CTPit!$E$10:$AW$75,BL$9,FALSE)-T35)</f>
        <v>0</v>
      </c>
      <c r="BM35" s="91">
        <f>IF(U35="-","-",VLOOKUP($E35,CTPit!$E$10:$AW$75,BM$9,FALSE)-U35)</f>
        <v>0</v>
      </c>
      <c r="BN35" s="91">
        <f>IF(V35="-","-",VLOOKUP($E35,CTPit!$E$10:$AW$75,BN$9,FALSE)-V35)</f>
        <v>0</v>
      </c>
      <c r="BO35" s="91">
        <f>IF(W35="-","-",VLOOKUP($E35,CTPit!$E$10:$AW$75,BO$9,FALSE)-W35)</f>
        <v>0</v>
      </c>
      <c r="BP35" s="91">
        <f>IF(X35="-","-",VLOOKUP($E35,CTPit!$E$10:$AW$75,BP$9,FALSE)-X35)</f>
        <v>0</v>
      </c>
      <c r="BQ35" s="91" t="str">
        <f>IF(Y35="-","-",VLOOKUP($E35,CTPit!$E$10:$AW$75,BQ$9,FALSE)-Y35)</f>
        <v>-</v>
      </c>
      <c r="BR35" s="91" t="str">
        <f>IF(Z35="-","-",VLOOKUP($E35,CTPit!$E$10:$AW$75,BR$9,FALSE)-Z35)</f>
        <v>-</v>
      </c>
      <c r="BS35" s="91">
        <f>IF(AA35="-","-",VLOOKUP($E35,CTPit!$E$10:$AW$75,BS$9,FALSE)-AA35)</f>
        <v>0</v>
      </c>
      <c r="BT35" s="91">
        <f>IF(AB35="-","-",VLOOKUP($E35,CTPit!$E$10:$AW$75,BT$9,FALSE)-AB35)</f>
        <v>0</v>
      </c>
      <c r="BU35" s="91" t="str">
        <f>IF(AC35="-","-",VLOOKUP($E35,CTPit!$E$10:$AW$75,BU$9,FALSE)-AC35)</f>
        <v>-</v>
      </c>
      <c r="BV35" s="91" t="str">
        <f>IF(AD35="-","-",VLOOKUP($E35,CTPit!$E$10:$AW$75,BV$9,FALSE)-AD35)</f>
        <v>-</v>
      </c>
      <c r="BW35" s="91" t="str">
        <f>IF(AE35="-","-",VLOOKUP($E35,CTPit!$E$10:$AW$75,BW$9,FALSE)-AE35)</f>
        <v>-</v>
      </c>
      <c r="BX35" s="91" t="str">
        <f>IF(AF35="-","-",VLOOKUP($E35,CTPit!$E$10:$AW$75,BX$9,FALSE)-AF35)</f>
        <v>-</v>
      </c>
      <c r="BY35" s="91" t="str">
        <f>IF(AG35="-","-",VLOOKUP($E35,CTPit!$E$10:$AW$75,BY$9,FALSE)-AG35)</f>
        <v>-</v>
      </c>
      <c r="BZ35" s="91" t="str">
        <f>IF(AH35="-","-",VLOOKUP($E35,CTPit!$E$10:$AW$75,BZ$9,FALSE)-AH35)</f>
        <v>-</v>
      </c>
      <c r="CA35" s="91" t="str">
        <f>IF(AI35="-","-",VLOOKUP($E35,CTPit!$E$10:$AW$75,CA$9,FALSE)-AI35)</f>
        <v>-</v>
      </c>
      <c r="CB35" s="91" t="str">
        <f>IF(AJ35="-","-",VLOOKUP($E35,CTPit!$E$10:$AW$75,CB$9,FALSE)-AJ35)</f>
        <v>-</v>
      </c>
      <c r="CC35" s="91" t="str">
        <f>IF(AK35="-","-",VLOOKUP($E35,CTPit!$E$10:$AW$75,CC$9,FALSE)-AK35)</f>
        <v>-</v>
      </c>
      <c r="CD35" s="91" t="str">
        <f>IF(AL35="-","-",VLOOKUP($E35,CTPit!$E$10:$AW$75,CD$9,FALSE)-AL35)</f>
        <v>-</v>
      </c>
      <c r="CE35" s="91" t="str">
        <f>IF(AM35="-","-",VLOOKUP($E35,CTPit!$E$10:$AW$75,CE$9,FALSE)-AM35)</f>
        <v>-</v>
      </c>
      <c r="CF35" s="91" t="str">
        <f>IF(AN35="-","-",VLOOKUP($E35,CTPit!$E$10:$AW$75,CF$9,FALSE)-AN35)</f>
        <v>-</v>
      </c>
      <c r="CG35" s="91" t="str">
        <f>IF(AO35="-","-",VLOOKUP($E35,CTPit!$E$10:$AW$75,CG$9,FALSE)-AO35)</f>
        <v>-</v>
      </c>
      <c r="CH35" s="91" t="str">
        <f>IF(AP35="-","-",VLOOKUP($E35,CTPit!$E$10:$AW$75,CH$9,FALSE)-AP35)</f>
        <v>-</v>
      </c>
      <c r="CI35" s="91" t="str">
        <f>IF(AQ35="-","-",VLOOKUP($E35,CTPit!$E$10:$AW$75,CI$9,FALSE)-AQ35)</f>
        <v>-</v>
      </c>
      <c r="CJ35" s="91" t="str">
        <f>IF(AR35="-","-",VLOOKUP($E35,CTPit!$E$10:$AW$75,CJ$9,FALSE)-AR35)</f>
        <v>-</v>
      </c>
      <c r="CK35">
        <f t="shared" si="15"/>
        <v>0</v>
      </c>
    </row>
    <row r="36" spans="3:89">
      <c r="C36" t="str">
        <f t="shared" si="5"/>
        <v>K</v>
      </c>
      <c r="D36" t="s">
        <v>110</v>
      </c>
      <c r="E36" t="s">
        <v>453</v>
      </c>
      <c r="F36" t="s">
        <v>25</v>
      </c>
      <c r="G36" t="s">
        <v>212</v>
      </c>
      <c r="H36">
        <v>27</v>
      </c>
      <c r="I36" t="s">
        <v>107</v>
      </c>
      <c r="J36" s="220" t="s">
        <v>107</v>
      </c>
      <c r="K36" t="s">
        <v>40</v>
      </c>
      <c r="L36" t="s">
        <v>48</v>
      </c>
      <c r="M36" t="s">
        <v>229</v>
      </c>
      <c r="N36" s="220" t="s">
        <v>230</v>
      </c>
      <c r="O36">
        <v>4</v>
      </c>
      <c r="P36">
        <v>8</v>
      </c>
      <c r="Q36" s="220">
        <v>7</v>
      </c>
      <c r="R36">
        <v>4</v>
      </c>
      <c r="S36">
        <v>8</v>
      </c>
      <c r="T36" s="220">
        <v>7</v>
      </c>
      <c r="U36">
        <v>5</v>
      </c>
      <c r="V36">
        <v>5</v>
      </c>
      <c r="W36" t="s">
        <v>41</v>
      </c>
      <c r="X36" t="s">
        <v>41</v>
      </c>
      <c r="Y36" t="s">
        <v>41</v>
      </c>
      <c r="Z36" t="s">
        <v>41</v>
      </c>
      <c r="AA36">
        <v>4</v>
      </c>
      <c r="AB36">
        <v>4</v>
      </c>
      <c r="AC36" t="s">
        <v>41</v>
      </c>
      <c r="AD36" t="s">
        <v>41</v>
      </c>
      <c r="AE36" t="s">
        <v>41</v>
      </c>
      <c r="AF36" t="s">
        <v>41</v>
      </c>
      <c r="AG36" t="s">
        <v>41</v>
      </c>
      <c r="AH36" t="s">
        <v>41</v>
      </c>
      <c r="AI36" t="s">
        <v>41</v>
      </c>
      <c r="AJ36" t="s">
        <v>41</v>
      </c>
      <c r="AK36" t="s">
        <v>41</v>
      </c>
      <c r="AL36" t="s">
        <v>41</v>
      </c>
      <c r="AM36" t="s">
        <v>41</v>
      </c>
      <c r="AN36" t="s">
        <v>41</v>
      </c>
      <c r="AO36" t="s">
        <v>41</v>
      </c>
      <c r="AP36" t="s">
        <v>41</v>
      </c>
      <c r="AQ36" t="s">
        <v>41</v>
      </c>
      <c r="AR36" s="220" t="s">
        <v>41</v>
      </c>
      <c r="AS36" t="s">
        <v>2</v>
      </c>
      <c r="AT36">
        <v>2</v>
      </c>
      <c r="AU36" s="11">
        <v>0.69</v>
      </c>
      <c r="AV36" s="85">
        <v>490000</v>
      </c>
      <c r="AW36" s="220" t="s">
        <v>45</v>
      </c>
      <c r="AX36" s="6">
        <f t="shared" si="6"/>
        <v>6.583333333333333</v>
      </c>
      <c r="AY36" s="9" t="str">
        <f t="shared" si="7"/>
        <v>GoodReg</v>
      </c>
      <c r="AZ36" s="9">
        <f t="shared" si="8"/>
        <v>6.583333333333333</v>
      </c>
      <c r="BA36" s="9" t="str">
        <f t="shared" si="9"/>
        <v>GoodReg</v>
      </c>
      <c r="BB36" s="9">
        <f t="shared" si="10"/>
        <v>6.583333333333333</v>
      </c>
      <c r="BC36" s="9" t="str">
        <f t="shared" si="11"/>
        <v>GoodReg</v>
      </c>
      <c r="BD36" s="84">
        <f t="shared" si="12"/>
        <v>2</v>
      </c>
      <c r="BE36" s="83">
        <f t="shared" si="13"/>
        <v>0</v>
      </c>
      <c r="BF36" t="str">
        <f t="shared" si="14"/>
        <v/>
      </c>
      <c r="BG36" s="91">
        <f>IF(O36="-","-",VLOOKUP($E36,CTPit!$E$10:$AW$75,BG$9,FALSE)-O36)</f>
        <v>0</v>
      </c>
      <c r="BH36" s="91">
        <f>IF(P36="-","-",VLOOKUP($E36,CTPit!$E$10:$AW$75,BH$9,FALSE)-P36)</f>
        <v>0</v>
      </c>
      <c r="BI36" s="91">
        <f>IF(Q36="-","-",VLOOKUP($E36,CTPit!$E$10:$AW$75,BI$9,FALSE)-Q36)</f>
        <v>0</v>
      </c>
      <c r="BJ36" s="91">
        <f>IF(R36="-","-",VLOOKUP($E36,CTPit!$E$10:$AW$75,BJ$9,FALSE)-R36)</f>
        <v>0</v>
      </c>
      <c r="BK36" s="91">
        <f>IF(S36="-","-",VLOOKUP($E36,CTPit!$E$10:$AW$75,BK$9,FALSE)-S36)</f>
        <v>0</v>
      </c>
      <c r="BL36" s="91">
        <f>IF(T36="-","-",VLOOKUP($E36,CTPit!$E$10:$AW$75,BL$9,FALSE)-T36)</f>
        <v>0</v>
      </c>
      <c r="BM36" s="91">
        <f>IF(U36="-","-",VLOOKUP($E36,CTPit!$E$10:$AW$75,BM$9,FALSE)-U36)</f>
        <v>0</v>
      </c>
      <c r="BN36" s="91">
        <f>IF(V36="-","-",VLOOKUP($E36,CTPit!$E$10:$AW$75,BN$9,FALSE)-V36)</f>
        <v>0</v>
      </c>
      <c r="BO36" s="91" t="str">
        <f>IF(W36="-","-",VLOOKUP($E36,CTPit!$E$10:$AW$75,BO$9,FALSE)-W36)</f>
        <v>-</v>
      </c>
      <c r="BP36" s="91" t="str">
        <f>IF(X36="-","-",VLOOKUP($E36,CTPit!$E$10:$AW$75,BP$9,FALSE)-X36)</f>
        <v>-</v>
      </c>
      <c r="BQ36" s="91" t="str">
        <f>IF(Y36="-","-",VLOOKUP($E36,CTPit!$E$10:$AW$75,BQ$9,FALSE)-Y36)</f>
        <v>-</v>
      </c>
      <c r="BR36" s="91" t="str">
        <f>IF(Z36="-","-",VLOOKUP($E36,CTPit!$E$10:$AW$75,BR$9,FALSE)-Z36)</f>
        <v>-</v>
      </c>
      <c r="BS36" s="91">
        <f>IF(AA36="-","-",VLOOKUP($E36,CTPit!$E$10:$AW$75,BS$9,FALSE)-AA36)</f>
        <v>0</v>
      </c>
      <c r="BT36" s="91">
        <f>IF(AB36="-","-",VLOOKUP($E36,CTPit!$E$10:$AW$75,BT$9,FALSE)-AB36)</f>
        <v>0</v>
      </c>
      <c r="BU36" s="91" t="str">
        <f>IF(AC36="-","-",VLOOKUP($E36,CTPit!$E$10:$AW$75,BU$9,FALSE)-AC36)</f>
        <v>-</v>
      </c>
      <c r="BV36" s="91" t="str">
        <f>IF(AD36="-","-",VLOOKUP($E36,CTPit!$E$10:$AW$75,BV$9,FALSE)-AD36)</f>
        <v>-</v>
      </c>
      <c r="BW36" s="91" t="str">
        <f>IF(AE36="-","-",VLOOKUP($E36,CTPit!$E$10:$AW$75,BW$9,FALSE)-AE36)</f>
        <v>-</v>
      </c>
      <c r="BX36" s="91" t="str">
        <f>IF(AF36="-","-",VLOOKUP($E36,CTPit!$E$10:$AW$75,BX$9,FALSE)-AF36)</f>
        <v>-</v>
      </c>
      <c r="BY36" s="91" t="str">
        <f>IF(AG36="-","-",VLOOKUP($E36,CTPit!$E$10:$AW$75,BY$9,FALSE)-AG36)</f>
        <v>-</v>
      </c>
      <c r="BZ36" s="91" t="str">
        <f>IF(AH36="-","-",VLOOKUP($E36,CTPit!$E$10:$AW$75,BZ$9,FALSE)-AH36)</f>
        <v>-</v>
      </c>
      <c r="CA36" s="91" t="str">
        <f>IF(AI36="-","-",VLOOKUP($E36,CTPit!$E$10:$AW$75,CA$9,FALSE)-AI36)</f>
        <v>-</v>
      </c>
      <c r="CB36" s="91" t="str">
        <f>IF(AJ36="-","-",VLOOKUP($E36,CTPit!$E$10:$AW$75,CB$9,FALSE)-AJ36)</f>
        <v>-</v>
      </c>
      <c r="CC36" s="91" t="str">
        <f>IF(AK36="-","-",VLOOKUP($E36,CTPit!$E$10:$AW$75,CC$9,FALSE)-AK36)</f>
        <v>-</v>
      </c>
      <c r="CD36" s="91" t="str">
        <f>IF(AL36="-","-",VLOOKUP($E36,CTPit!$E$10:$AW$75,CD$9,FALSE)-AL36)</f>
        <v>-</v>
      </c>
      <c r="CE36" s="91" t="str">
        <f>IF(AM36="-","-",VLOOKUP($E36,CTPit!$E$10:$AW$75,CE$9,FALSE)-AM36)</f>
        <v>-</v>
      </c>
      <c r="CF36" s="91" t="str">
        <f>IF(AN36="-","-",VLOOKUP($E36,CTPit!$E$10:$AW$75,CF$9,FALSE)-AN36)</f>
        <v>-</v>
      </c>
      <c r="CG36" s="91" t="str">
        <f>IF(AO36="-","-",VLOOKUP($E36,CTPit!$E$10:$AW$75,CG$9,FALSE)-AO36)</f>
        <v>-</v>
      </c>
      <c r="CH36" s="91" t="str">
        <f>IF(AP36="-","-",VLOOKUP($E36,CTPit!$E$10:$AW$75,CH$9,FALSE)-AP36)</f>
        <v>-</v>
      </c>
      <c r="CI36" s="91" t="str">
        <f>IF(AQ36="-","-",VLOOKUP($E36,CTPit!$E$10:$AW$75,CI$9,FALSE)-AQ36)</f>
        <v>-</v>
      </c>
      <c r="CJ36" s="91" t="str">
        <f>IF(AR36="-","-",VLOOKUP($E36,CTPit!$E$10:$AW$75,CJ$9,FALSE)-AR36)</f>
        <v>-</v>
      </c>
      <c r="CK36">
        <f t="shared" si="15"/>
        <v>0</v>
      </c>
    </row>
    <row r="37" spans="3:89">
      <c r="C37" t="str">
        <f t="shared" si="5"/>
        <v>K</v>
      </c>
      <c r="D37" t="s">
        <v>110</v>
      </c>
      <c r="E37" t="s">
        <v>17</v>
      </c>
      <c r="F37" t="s">
        <v>25</v>
      </c>
      <c r="G37" t="s">
        <v>212</v>
      </c>
      <c r="H37">
        <v>25</v>
      </c>
      <c r="I37" t="s">
        <v>107</v>
      </c>
      <c r="J37" s="220" t="s">
        <v>106</v>
      </c>
      <c r="K37" t="s">
        <v>42</v>
      </c>
      <c r="L37" t="s">
        <v>40</v>
      </c>
      <c r="M37" t="s">
        <v>230</v>
      </c>
      <c r="N37" s="220" t="s">
        <v>229</v>
      </c>
      <c r="O37">
        <v>6</v>
      </c>
      <c r="P37">
        <v>7</v>
      </c>
      <c r="Q37" s="220">
        <v>6</v>
      </c>
      <c r="R37">
        <v>6</v>
      </c>
      <c r="S37">
        <v>7</v>
      </c>
      <c r="T37" s="220">
        <v>6</v>
      </c>
      <c r="U37">
        <v>7</v>
      </c>
      <c r="V37">
        <v>7</v>
      </c>
      <c r="W37" t="s">
        <v>41</v>
      </c>
      <c r="X37" t="s">
        <v>41</v>
      </c>
      <c r="Y37" t="s">
        <v>41</v>
      </c>
      <c r="Z37" t="s">
        <v>41</v>
      </c>
      <c r="AA37" t="s">
        <v>41</v>
      </c>
      <c r="AB37" t="s">
        <v>41</v>
      </c>
      <c r="AC37" t="s">
        <v>41</v>
      </c>
      <c r="AD37" t="s">
        <v>41</v>
      </c>
      <c r="AE37">
        <v>7</v>
      </c>
      <c r="AF37">
        <v>7</v>
      </c>
      <c r="AG37" t="s">
        <v>41</v>
      </c>
      <c r="AH37" t="s">
        <v>41</v>
      </c>
      <c r="AI37" t="s">
        <v>41</v>
      </c>
      <c r="AJ37" t="s">
        <v>41</v>
      </c>
      <c r="AK37" t="s">
        <v>41</v>
      </c>
      <c r="AL37" t="s">
        <v>41</v>
      </c>
      <c r="AM37" t="s">
        <v>41</v>
      </c>
      <c r="AN37" t="s">
        <v>41</v>
      </c>
      <c r="AO37" t="s">
        <v>41</v>
      </c>
      <c r="AP37" t="s">
        <v>41</v>
      </c>
      <c r="AQ37" t="s">
        <v>41</v>
      </c>
      <c r="AR37" s="220" t="s">
        <v>41</v>
      </c>
      <c r="AS37" t="s">
        <v>3</v>
      </c>
      <c r="AT37">
        <v>1</v>
      </c>
      <c r="AU37" s="11">
        <v>0.51</v>
      </c>
      <c r="AV37" s="85">
        <v>490000</v>
      </c>
      <c r="AW37" s="220" t="s">
        <v>45</v>
      </c>
      <c r="AX37" s="6">
        <f t="shared" si="6"/>
        <v>6.583333333333333</v>
      </c>
      <c r="AY37" s="9" t="str">
        <f t="shared" si="7"/>
        <v>GoodReg</v>
      </c>
      <c r="AZ37" s="9">
        <f t="shared" si="8"/>
        <v>6.583333333333333</v>
      </c>
      <c r="BA37" s="9" t="str">
        <f t="shared" si="9"/>
        <v>GoodReg</v>
      </c>
      <c r="BB37" s="9">
        <f t="shared" si="10"/>
        <v>6.583333333333333</v>
      </c>
      <c r="BC37" s="9" t="str">
        <f t="shared" si="11"/>
        <v>GoodReg</v>
      </c>
      <c r="BD37" s="84">
        <f t="shared" si="12"/>
        <v>2</v>
      </c>
      <c r="BE37" s="83">
        <f t="shared" si="13"/>
        <v>2</v>
      </c>
      <c r="BF37" t="str">
        <f t="shared" si="14"/>
        <v/>
      </c>
      <c r="BG37" s="91">
        <f>IF(O37="-","-",VLOOKUP($E37,CTPit!$E$10:$AW$75,BG$9,FALSE)-O37)</f>
        <v>0</v>
      </c>
      <c r="BH37" s="91">
        <f>IF(P37="-","-",VLOOKUP($E37,CTPit!$E$10:$AW$75,BH$9,FALSE)-P37)</f>
        <v>0</v>
      </c>
      <c r="BI37" s="91">
        <f>IF(Q37="-","-",VLOOKUP($E37,CTPit!$E$10:$AW$75,BI$9,FALSE)-Q37)</f>
        <v>0</v>
      </c>
      <c r="BJ37" s="91">
        <f>IF(R37="-","-",VLOOKUP($E37,CTPit!$E$10:$AW$75,BJ$9,FALSE)-R37)</f>
        <v>0</v>
      </c>
      <c r="BK37" s="91">
        <f>IF(S37="-","-",VLOOKUP($E37,CTPit!$E$10:$AW$75,BK$9,FALSE)-S37)</f>
        <v>0</v>
      </c>
      <c r="BL37" s="91">
        <f>IF(T37="-","-",VLOOKUP($E37,CTPit!$E$10:$AW$75,BL$9,FALSE)-T37)</f>
        <v>0</v>
      </c>
      <c r="BM37" s="91">
        <f>IF(U37="-","-",VLOOKUP($E37,CTPit!$E$10:$AW$75,BM$9,FALSE)-U37)</f>
        <v>0</v>
      </c>
      <c r="BN37" s="91">
        <f>IF(V37="-","-",VLOOKUP($E37,CTPit!$E$10:$AW$75,BN$9,FALSE)-V37)</f>
        <v>0</v>
      </c>
      <c r="BO37" s="91" t="str">
        <f>IF(W37="-","-",VLOOKUP($E37,CTPit!$E$10:$AW$75,BO$9,FALSE)-W37)</f>
        <v>-</v>
      </c>
      <c r="BP37" s="91" t="str">
        <f>IF(X37="-","-",VLOOKUP($E37,CTPit!$E$10:$AW$75,BP$9,FALSE)-X37)</f>
        <v>-</v>
      </c>
      <c r="BQ37" s="91" t="str">
        <f>IF(Y37="-","-",VLOOKUP($E37,CTPit!$E$10:$AW$75,BQ$9,FALSE)-Y37)</f>
        <v>-</v>
      </c>
      <c r="BR37" s="91" t="str">
        <f>IF(Z37="-","-",VLOOKUP($E37,CTPit!$E$10:$AW$75,BR$9,FALSE)-Z37)</f>
        <v>-</v>
      </c>
      <c r="BS37" s="91" t="str">
        <f>IF(AA37="-","-",VLOOKUP($E37,CTPit!$E$10:$AW$75,BS$9,FALSE)-AA37)</f>
        <v>-</v>
      </c>
      <c r="BT37" s="91" t="str">
        <f>IF(AB37="-","-",VLOOKUP($E37,CTPit!$E$10:$AW$75,BT$9,FALSE)-AB37)</f>
        <v>-</v>
      </c>
      <c r="BU37" s="91" t="str">
        <f>IF(AC37="-","-",VLOOKUP($E37,CTPit!$E$10:$AW$75,BU$9,FALSE)-AC37)</f>
        <v>-</v>
      </c>
      <c r="BV37" s="91" t="str">
        <f>IF(AD37="-","-",VLOOKUP($E37,CTPit!$E$10:$AW$75,BV$9,FALSE)-AD37)</f>
        <v>-</v>
      </c>
      <c r="BW37" s="91">
        <f>IF(AE37="-","-",VLOOKUP($E37,CTPit!$E$10:$AW$75,BW$9,FALSE)-AE37)</f>
        <v>0</v>
      </c>
      <c r="BX37" s="91">
        <f>IF(AF37="-","-",VLOOKUP($E37,CTPit!$E$10:$AW$75,BX$9,FALSE)-AF37)</f>
        <v>0</v>
      </c>
      <c r="BY37" s="91" t="str">
        <f>IF(AG37="-","-",VLOOKUP($E37,CTPit!$E$10:$AW$75,BY$9,FALSE)-AG37)</f>
        <v>-</v>
      </c>
      <c r="BZ37" s="91" t="str">
        <f>IF(AH37="-","-",VLOOKUP($E37,CTPit!$E$10:$AW$75,BZ$9,FALSE)-AH37)</f>
        <v>-</v>
      </c>
      <c r="CA37" s="91" t="str">
        <f>IF(AI37="-","-",VLOOKUP($E37,CTPit!$E$10:$AW$75,CA$9,FALSE)-AI37)</f>
        <v>-</v>
      </c>
      <c r="CB37" s="91" t="str">
        <f>IF(AJ37="-","-",VLOOKUP($E37,CTPit!$E$10:$AW$75,CB$9,FALSE)-AJ37)</f>
        <v>-</v>
      </c>
      <c r="CC37" s="91" t="str">
        <f>IF(AK37="-","-",VLOOKUP($E37,CTPit!$E$10:$AW$75,CC$9,FALSE)-AK37)</f>
        <v>-</v>
      </c>
      <c r="CD37" s="91" t="str">
        <f>IF(AL37="-","-",VLOOKUP($E37,CTPit!$E$10:$AW$75,CD$9,FALSE)-AL37)</f>
        <v>-</v>
      </c>
      <c r="CE37" s="91" t="str">
        <f>IF(AM37="-","-",VLOOKUP($E37,CTPit!$E$10:$AW$75,CE$9,FALSE)-AM37)</f>
        <v>-</v>
      </c>
      <c r="CF37" s="91" t="str">
        <f>IF(AN37="-","-",VLOOKUP($E37,CTPit!$E$10:$AW$75,CF$9,FALSE)-AN37)</f>
        <v>-</v>
      </c>
      <c r="CG37" s="91" t="str">
        <f>IF(AO37="-","-",VLOOKUP($E37,CTPit!$E$10:$AW$75,CG$9,FALSE)-AO37)</f>
        <v>-</v>
      </c>
      <c r="CH37" s="91" t="str">
        <f>IF(AP37="-","-",VLOOKUP($E37,CTPit!$E$10:$AW$75,CH$9,FALSE)-AP37)</f>
        <v>-</v>
      </c>
      <c r="CI37" s="91" t="str">
        <f>IF(AQ37="-","-",VLOOKUP($E37,CTPit!$E$10:$AW$75,CI$9,FALSE)-AQ37)</f>
        <v>-</v>
      </c>
      <c r="CJ37" s="91" t="str">
        <f>IF(AR37="-","-",VLOOKUP($E37,CTPit!$E$10:$AW$75,CJ$9,FALSE)-AR37)</f>
        <v>-</v>
      </c>
      <c r="CK37">
        <f t="shared" si="15"/>
        <v>0</v>
      </c>
    </row>
    <row r="38" spans="3:89">
      <c r="C38" t="str">
        <f t="shared" si="5"/>
        <v>K</v>
      </c>
      <c r="D38" t="s">
        <v>110</v>
      </c>
      <c r="E38" t="s">
        <v>9</v>
      </c>
      <c r="F38" t="s">
        <v>384</v>
      </c>
      <c r="G38" t="s">
        <v>213</v>
      </c>
      <c r="H38">
        <v>24</v>
      </c>
      <c r="I38" t="s">
        <v>107</v>
      </c>
      <c r="J38" s="220" t="s">
        <v>107</v>
      </c>
      <c r="K38" t="s">
        <v>42</v>
      </c>
      <c r="L38" t="s">
        <v>40</v>
      </c>
      <c r="M38" t="s">
        <v>229</v>
      </c>
      <c r="N38" s="220" t="s">
        <v>232</v>
      </c>
      <c r="O38">
        <v>7</v>
      </c>
      <c r="P38">
        <v>7</v>
      </c>
      <c r="Q38" s="220">
        <v>4</v>
      </c>
      <c r="R38">
        <v>7</v>
      </c>
      <c r="S38">
        <v>7</v>
      </c>
      <c r="T38" s="220">
        <v>4</v>
      </c>
      <c r="U38">
        <v>8</v>
      </c>
      <c r="V38">
        <v>8</v>
      </c>
      <c r="W38" t="s">
        <v>41</v>
      </c>
      <c r="X38" t="s">
        <v>41</v>
      </c>
      <c r="Y38" t="s">
        <v>41</v>
      </c>
      <c r="Z38" t="s">
        <v>41</v>
      </c>
      <c r="AA38">
        <v>7</v>
      </c>
      <c r="AB38">
        <v>7</v>
      </c>
      <c r="AC38" t="s">
        <v>41</v>
      </c>
      <c r="AD38" t="s">
        <v>41</v>
      </c>
      <c r="AE38" t="s">
        <v>41</v>
      </c>
      <c r="AF38" t="s">
        <v>41</v>
      </c>
      <c r="AG38" t="s">
        <v>41</v>
      </c>
      <c r="AH38" t="s">
        <v>41</v>
      </c>
      <c r="AI38" t="s">
        <v>41</v>
      </c>
      <c r="AJ38" t="s">
        <v>41</v>
      </c>
      <c r="AK38" t="s">
        <v>41</v>
      </c>
      <c r="AL38" t="s">
        <v>41</v>
      </c>
      <c r="AM38" t="s">
        <v>41</v>
      </c>
      <c r="AN38" t="s">
        <v>41</v>
      </c>
      <c r="AO38" t="s">
        <v>41</v>
      </c>
      <c r="AP38" t="s">
        <v>41</v>
      </c>
      <c r="AQ38" t="s">
        <v>41</v>
      </c>
      <c r="AR38" s="220" t="s">
        <v>41</v>
      </c>
      <c r="AS38" t="s">
        <v>252</v>
      </c>
      <c r="AT38">
        <v>1</v>
      </c>
      <c r="AU38" s="11">
        <v>0.66</v>
      </c>
      <c r="AV38" s="85">
        <v>490000</v>
      </c>
      <c r="AW38" s="220" t="s">
        <v>45</v>
      </c>
      <c r="AX38" s="6">
        <f t="shared" si="6"/>
        <v>6.5</v>
      </c>
      <c r="AY38" s="9" t="str">
        <f t="shared" si="7"/>
        <v>Reg</v>
      </c>
      <c r="AZ38" s="9">
        <f t="shared" si="8"/>
        <v>6.5</v>
      </c>
      <c r="BA38" s="9" t="str">
        <f t="shared" si="9"/>
        <v>Reg</v>
      </c>
      <c r="BB38" s="9">
        <f t="shared" si="10"/>
        <v>6.5</v>
      </c>
      <c r="BC38" s="9" t="str">
        <f t="shared" si="11"/>
        <v>Reg</v>
      </c>
      <c r="BD38" s="84">
        <f t="shared" si="12"/>
        <v>2</v>
      </c>
      <c r="BE38" s="83">
        <f t="shared" si="13"/>
        <v>2</v>
      </c>
      <c r="BF38" t="str">
        <f t="shared" si="14"/>
        <v/>
      </c>
      <c r="BG38" s="91">
        <f>IF(O38="-","-",VLOOKUP($E38,CTPit!$E$10:$AW$75,BG$9,FALSE)-O38)</f>
        <v>0</v>
      </c>
      <c r="BH38" s="91">
        <f>IF(P38="-","-",VLOOKUP($E38,CTPit!$E$10:$AW$75,BH$9,FALSE)-P38)</f>
        <v>0</v>
      </c>
      <c r="BI38" s="91">
        <f>IF(Q38="-","-",VLOOKUP($E38,CTPit!$E$10:$AW$75,BI$9,FALSE)-Q38)</f>
        <v>0</v>
      </c>
      <c r="BJ38" s="91">
        <f>IF(R38="-","-",VLOOKUP($E38,CTPit!$E$10:$AW$75,BJ$9,FALSE)-R38)</f>
        <v>0</v>
      </c>
      <c r="BK38" s="91">
        <f>IF(S38="-","-",VLOOKUP($E38,CTPit!$E$10:$AW$75,BK$9,FALSE)-S38)</f>
        <v>0</v>
      </c>
      <c r="BL38" s="91">
        <f>IF(T38="-","-",VLOOKUP($E38,CTPit!$E$10:$AW$75,BL$9,FALSE)-T38)</f>
        <v>0</v>
      </c>
      <c r="BM38" s="91">
        <f>IF(U38="-","-",VLOOKUP($E38,CTPit!$E$10:$AW$75,BM$9,FALSE)-U38)</f>
        <v>0</v>
      </c>
      <c r="BN38" s="91">
        <f>IF(V38="-","-",VLOOKUP($E38,CTPit!$E$10:$AW$75,BN$9,FALSE)-V38)</f>
        <v>0</v>
      </c>
      <c r="BO38" s="91" t="str">
        <f>IF(W38="-","-",VLOOKUP($E38,CTPit!$E$10:$AW$75,BO$9,FALSE)-W38)</f>
        <v>-</v>
      </c>
      <c r="BP38" s="91" t="str">
        <f>IF(X38="-","-",VLOOKUP($E38,CTPit!$E$10:$AW$75,BP$9,FALSE)-X38)</f>
        <v>-</v>
      </c>
      <c r="BQ38" s="91" t="str">
        <f>IF(Y38="-","-",VLOOKUP($E38,CTPit!$E$10:$AW$75,BQ$9,FALSE)-Y38)</f>
        <v>-</v>
      </c>
      <c r="BR38" s="91" t="str">
        <f>IF(Z38="-","-",VLOOKUP($E38,CTPit!$E$10:$AW$75,BR$9,FALSE)-Z38)</f>
        <v>-</v>
      </c>
      <c r="BS38" s="91">
        <f>IF(AA38="-","-",VLOOKUP($E38,CTPit!$E$10:$AW$75,BS$9,FALSE)-AA38)</f>
        <v>0</v>
      </c>
      <c r="BT38" s="91">
        <f>IF(AB38="-","-",VLOOKUP($E38,CTPit!$E$10:$AW$75,BT$9,FALSE)-AB38)</f>
        <v>0</v>
      </c>
      <c r="BU38" s="91" t="str">
        <f>IF(AC38="-","-",VLOOKUP($E38,CTPit!$E$10:$AW$75,BU$9,FALSE)-AC38)</f>
        <v>-</v>
      </c>
      <c r="BV38" s="91" t="str">
        <f>IF(AD38="-","-",VLOOKUP($E38,CTPit!$E$10:$AW$75,BV$9,FALSE)-AD38)</f>
        <v>-</v>
      </c>
      <c r="BW38" s="91" t="str">
        <f>IF(AE38="-","-",VLOOKUP($E38,CTPit!$E$10:$AW$75,BW$9,FALSE)-AE38)</f>
        <v>-</v>
      </c>
      <c r="BX38" s="91" t="str">
        <f>IF(AF38="-","-",VLOOKUP($E38,CTPit!$E$10:$AW$75,BX$9,FALSE)-AF38)</f>
        <v>-</v>
      </c>
      <c r="BY38" s="91" t="str">
        <f>IF(AG38="-","-",VLOOKUP($E38,CTPit!$E$10:$AW$75,BY$9,FALSE)-AG38)</f>
        <v>-</v>
      </c>
      <c r="BZ38" s="91" t="str">
        <f>IF(AH38="-","-",VLOOKUP($E38,CTPit!$E$10:$AW$75,BZ$9,FALSE)-AH38)</f>
        <v>-</v>
      </c>
      <c r="CA38" s="91" t="str">
        <f>IF(AI38="-","-",VLOOKUP($E38,CTPit!$E$10:$AW$75,CA$9,FALSE)-AI38)</f>
        <v>-</v>
      </c>
      <c r="CB38" s="91" t="str">
        <f>IF(AJ38="-","-",VLOOKUP($E38,CTPit!$E$10:$AW$75,CB$9,FALSE)-AJ38)</f>
        <v>-</v>
      </c>
      <c r="CC38" s="91" t="str">
        <f>IF(AK38="-","-",VLOOKUP($E38,CTPit!$E$10:$AW$75,CC$9,FALSE)-AK38)</f>
        <v>-</v>
      </c>
      <c r="CD38" s="91" t="str">
        <f>IF(AL38="-","-",VLOOKUP($E38,CTPit!$E$10:$AW$75,CD$9,FALSE)-AL38)</f>
        <v>-</v>
      </c>
      <c r="CE38" s="91" t="str">
        <f>IF(AM38="-","-",VLOOKUP($E38,CTPit!$E$10:$AW$75,CE$9,FALSE)-AM38)</f>
        <v>-</v>
      </c>
      <c r="CF38" s="91" t="str">
        <f>IF(AN38="-","-",VLOOKUP($E38,CTPit!$E$10:$AW$75,CF$9,FALSE)-AN38)</f>
        <v>-</v>
      </c>
      <c r="CG38" s="91" t="str">
        <f>IF(AO38="-","-",VLOOKUP($E38,CTPit!$E$10:$AW$75,CG$9,FALSE)-AO38)</f>
        <v>-</v>
      </c>
      <c r="CH38" s="91" t="str">
        <f>IF(AP38="-","-",VLOOKUP($E38,CTPit!$E$10:$AW$75,CH$9,FALSE)-AP38)</f>
        <v>-</v>
      </c>
      <c r="CI38" s="91" t="str">
        <f>IF(AQ38="-","-",VLOOKUP($E38,CTPit!$E$10:$AW$75,CI$9,FALSE)-AQ38)</f>
        <v>-</v>
      </c>
      <c r="CJ38" s="91" t="str">
        <f>IF(AR38="-","-",VLOOKUP($E38,CTPit!$E$10:$AW$75,CJ$9,FALSE)-AR38)</f>
        <v>-</v>
      </c>
      <c r="CK38">
        <f t="shared" si="15"/>
        <v>0</v>
      </c>
    </row>
    <row r="39" spans="3:89">
      <c r="C39" t="str">
        <f t="shared" si="5"/>
        <v>K</v>
      </c>
      <c r="D39" t="s">
        <v>111</v>
      </c>
      <c r="E39" t="s">
        <v>426</v>
      </c>
      <c r="F39" t="s">
        <v>25</v>
      </c>
      <c r="G39" t="s">
        <v>212</v>
      </c>
      <c r="H39">
        <v>27</v>
      </c>
      <c r="I39" t="s">
        <v>106</v>
      </c>
      <c r="J39" s="220" t="s">
        <v>106</v>
      </c>
      <c r="K39" t="s">
        <v>42</v>
      </c>
      <c r="L39" t="s">
        <v>42</v>
      </c>
      <c r="M39" t="s">
        <v>229</v>
      </c>
      <c r="N39" s="220" t="s">
        <v>232</v>
      </c>
      <c r="O39">
        <v>8</v>
      </c>
      <c r="P39">
        <v>5</v>
      </c>
      <c r="Q39" s="220">
        <v>5</v>
      </c>
      <c r="R39">
        <v>8</v>
      </c>
      <c r="S39">
        <v>5</v>
      </c>
      <c r="T39" s="220">
        <v>5</v>
      </c>
      <c r="U39">
        <v>8</v>
      </c>
      <c r="V39">
        <v>8</v>
      </c>
      <c r="W39">
        <v>10</v>
      </c>
      <c r="X39">
        <v>10</v>
      </c>
      <c r="Y39" t="s">
        <v>41</v>
      </c>
      <c r="Z39" t="s">
        <v>41</v>
      </c>
      <c r="AA39">
        <v>8</v>
      </c>
      <c r="AB39">
        <v>8</v>
      </c>
      <c r="AC39" t="s">
        <v>41</v>
      </c>
      <c r="AD39" t="s">
        <v>41</v>
      </c>
      <c r="AE39" t="s">
        <v>41</v>
      </c>
      <c r="AF39" t="s">
        <v>41</v>
      </c>
      <c r="AG39" t="s">
        <v>41</v>
      </c>
      <c r="AH39" t="s">
        <v>41</v>
      </c>
      <c r="AI39" t="s">
        <v>41</v>
      </c>
      <c r="AJ39" t="s">
        <v>41</v>
      </c>
      <c r="AK39" t="s">
        <v>41</v>
      </c>
      <c r="AL39" t="s">
        <v>41</v>
      </c>
      <c r="AM39" t="s">
        <v>41</v>
      </c>
      <c r="AN39" t="s">
        <v>41</v>
      </c>
      <c r="AO39" t="s">
        <v>41</v>
      </c>
      <c r="AP39" t="s">
        <v>41</v>
      </c>
      <c r="AQ39" t="s">
        <v>41</v>
      </c>
      <c r="AR39" s="220" t="s">
        <v>41</v>
      </c>
      <c r="AS39" t="s">
        <v>11</v>
      </c>
      <c r="AT39">
        <v>8</v>
      </c>
      <c r="AU39" s="11">
        <v>0.37</v>
      </c>
      <c r="AV39" s="85">
        <v>490000</v>
      </c>
      <c r="AW39" s="220" t="s">
        <v>45</v>
      </c>
      <c r="AX39" s="6">
        <f t="shared" si="6"/>
        <v>6.25</v>
      </c>
      <c r="AY39" s="9" t="str">
        <f t="shared" si="7"/>
        <v>Reg</v>
      </c>
      <c r="AZ39" s="9">
        <f t="shared" si="8"/>
        <v>6.25</v>
      </c>
      <c r="BA39" s="9" t="str">
        <f t="shared" si="9"/>
        <v>Reg</v>
      </c>
      <c r="BB39" s="9">
        <f t="shared" si="10"/>
        <v>6.25</v>
      </c>
      <c r="BC39" s="9" t="str">
        <f t="shared" si="11"/>
        <v>Reg</v>
      </c>
      <c r="BD39" s="84">
        <f t="shared" si="12"/>
        <v>3</v>
      </c>
      <c r="BE39" s="83">
        <f t="shared" si="13"/>
        <v>3</v>
      </c>
      <c r="BF39" t="str">
        <f t="shared" si="14"/>
        <v/>
      </c>
      <c r="BG39" s="91">
        <f>IF(O39="-","-",VLOOKUP($E39,CTPit!$E$10:$AW$75,BG$9,FALSE)-O39)</f>
        <v>0</v>
      </c>
      <c r="BH39" s="91">
        <f>IF(P39="-","-",VLOOKUP($E39,CTPit!$E$10:$AW$75,BH$9,FALSE)-P39)</f>
        <v>0</v>
      </c>
      <c r="BI39" s="91">
        <f>IF(Q39="-","-",VLOOKUP($E39,CTPit!$E$10:$AW$75,BI$9,FALSE)-Q39)</f>
        <v>0</v>
      </c>
      <c r="BJ39" s="91">
        <f>IF(R39="-","-",VLOOKUP($E39,CTPit!$E$10:$AW$75,BJ$9,FALSE)-R39)</f>
        <v>0</v>
      </c>
      <c r="BK39" s="91">
        <f>IF(S39="-","-",VLOOKUP($E39,CTPit!$E$10:$AW$75,BK$9,FALSE)-S39)</f>
        <v>0</v>
      </c>
      <c r="BL39" s="91">
        <f>IF(T39="-","-",VLOOKUP($E39,CTPit!$E$10:$AW$75,BL$9,FALSE)-T39)</f>
        <v>0</v>
      </c>
      <c r="BM39" s="91">
        <f>IF(U39="-","-",VLOOKUP($E39,CTPit!$E$10:$AW$75,BM$9,FALSE)-U39)</f>
        <v>0</v>
      </c>
      <c r="BN39" s="91">
        <f>IF(V39="-","-",VLOOKUP($E39,CTPit!$E$10:$AW$75,BN$9,FALSE)-V39)</f>
        <v>0</v>
      </c>
      <c r="BO39" s="91">
        <f>IF(W39="-","-",VLOOKUP($E39,CTPit!$E$10:$AW$75,BO$9,FALSE)-W39)</f>
        <v>0</v>
      </c>
      <c r="BP39" s="91">
        <f>IF(X39="-","-",VLOOKUP($E39,CTPit!$E$10:$AW$75,BP$9,FALSE)-X39)</f>
        <v>0</v>
      </c>
      <c r="BQ39" s="91" t="str">
        <f>IF(Y39="-","-",VLOOKUP($E39,CTPit!$E$10:$AW$75,BQ$9,FALSE)-Y39)</f>
        <v>-</v>
      </c>
      <c r="BR39" s="91" t="str">
        <f>IF(Z39="-","-",VLOOKUP($E39,CTPit!$E$10:$AW$75,BR$9,FALSE)-Z39)</f>
        <v>-</v>
      </c>
      <c r="BS39" s="91">
        <f>IF(AA39="-","-",VLOOKUP($E39,CTPit!$E$10:$AW$75,BS$9,FALSE)-AA39)</f>
        <v>0</v>
      </c>
      <c r="BT39" s="91">
        <f>IF(AB39="-","-",VLOOKUP($E39,CTPit!$E$10:$AW$75,BT$9,FALSE)-AB39)</f>
        <v>0</v>
      </c>
      <c r="BU39" s="91" t="str">
        <f>IF(AC39="-","-",VLOOKUP($E39,CTPit!$E$10:$AW$75,BU$9,FALSE)-AC39)</f>
        <v>-</v>
      </c>
      <c r="BV39" s="91" t="str">
        <f>IF(AD39="-","-",VLOOKUP($E39,CTPit!$E$10:$AW$75,BV$9,FALSE)-AD39)</f>
        <v>-</v>
      </c>
      <c r="BW39" s="91" t="str">
        <f>IF(AE39="-","-",VLOOKUP($E39,CTPit!$E$10:$AW$75,BW$9,FALSE)-AE39)</f>
        <v>-</v>
      </c>
      <c r="BX39" s="91" t="str">
        <f>IF(AF39="-","-",VLOOKUP($E39,CTPit!$E$10:$AW$75,BX$9,FALSE)-AF39)</f>
        <v>-</v>
      </c>
      <c r="BY39" s="91" t="str">
        <f>IF(AG39="-","-",VLOOKUP($E39,CTPit!$E$10:$AW$75,BY$9,FALSE)-AG39)</f>
        <v>-</v>
      </c>
      <c r="BZ39" s="91" t="str">
        <f>IF(AH39="-","-",VLOOKUP($E39,CTPit!$E$10:$AW$75,BZ$9,FALSE)-AH39)</f>
        <v>-</v>
      </c>
      <c r="CA39" s="91" t="str">
        <f>IF(AI39="-","-",VLOOKUP($E39,CTPit!$E$10:$AW$75,CA$9,FALSE)-AI39)</f>
        <v>-</v>
      </c>
      <c r="CB39" s="91" t="str">
        <f>IF(AJ39="-","-",VLOOKUP($E39,CTPit!$E$10:$AW$75,CB$9,FALSE)-AJ39)</f>
        <v>-</v>
      </c>
      <c r="CC39" s="91" t="str">
        <f>IF(AK39="-","-",VLOOKUP($E39,CTPit!$E$10:$AW$75,CC$9,FALSE)-AK39)</f>
        <v>-</v>
      </c>
      <c r="CD39" s="91" t="str">
        <f>IF(AL39="-","-",VLOOKUP($E39,CTPit!$E$10:$AW$75,CD$9,FALSE)-AL39)</f>
        <v>-</v>
      </c>
      <c r="CE39" s="91" t="str">
        <f>IF(AM39="-","-",VLOOKUP($E39,CTPit!$E$10:$AW$75,CE$9,FALSE)-AM39)</f>
        <v>-</v>
      </c>
      <c r="CF39" s="91" t="str">
        <f>IF(AN39="-","-",VLOOKUP($E39,CTPit!$E$10:$AW$75,CF$9,FALSE)-AN39)</f>
        <v>-</v>
      </c>
      <c r="CG39" s="91" t="str">
        <f>IF(AO39="-","-",VLOOKUP($E39,CTPit!$E$10:$AW$75,CG$9,FALSE)-AO39)</f>
        <v>-</v>
      </c>
      <c r="CH39" s="91" t="str">
        <f>IF(AP39="-","-",VLOOKUP($E39,CTPit!$E$10:$AW$75,CH$9,FALSE)-AP39)</f>
        <v>-</v>
      </c>
      <c r="CI39" s="91" t="str">
        <f>IF(AQ39="-","-",VLOOKUP($E39,CTPit!$E$10:$AW$75,CI$9,FALSE)-AQ39)</f>
        <v>-</v>
      </c>
      <c r="CJ39" s="91" t="str">
        <f>IF(AR39="-","-",VLOOKUP($E39,CTPit!$E$10:$AW$75,CJ$9,FALSE)-AR39)</f>
        <v>-</v>
      </c>
      <c r="CK39">
        <f t="shared" si="15"/>
        <v>0</v>
      </c>
    </row>
    <row r="40" spans="3:89">
      <c r="C40" t="str">
        <f t="shared" si="5"/>
        <v>K</v>
      </c>
      <c r="D40" t="s">
        <v>110</v>
      </c>
      <c r="E40" t="s">
        <v>445</v>
      </c>
      <c r="F40" t="s">
        <v>384</v>
      </c>
      <c r="G40" t="s">
        <v>213</v>
      </c>
      <c r="H40">
        <v>22</v>
      </c>
      <c r="I40" t="s">
        <v>107</v>
      </c>
      <c r="J40" s="220" t="s">
        <v>107</v>
      </c>
      <c r="K40" t="s">
        <v>42</v>
      </c>
      <c r="L40" t="s">
        <v>40</v>
      </c>
      <c r="M40" t="s">
        <v>231</v>
      </c>
      <c r="N40" s="220" t="s">
        <v>228</v>
      </c>
      <c r="O40">
        <v>9</v>
      </c>
      <c r="P40">
        <v>5</v>
      </c>
      <c r="Q40" s="220">
        <v>4</v>
      </c>
      <c r="R40">
        <v>9</v>
      </c>
      <c r="S40">
        <v>5</v>
      </c>
      <c r="T40" s="220">
        <v>5</v>
      </c>
      <c r="U40">
        <v>9</v>
      </c>
      <c r="V40">
        <v>9</v>
      </c>
      <c r="W40" t="s">
        <v>41</v>
      </c>
      <c r="X40" t="s">
        <v>41</v>
      </c>
      <c r="Y40" t="s">
        <v>41</v>
      </c>
      <c r="Z40" t="s">
        <v>41</v>
      </c>
      <c r="AA40">
        <v>8</v>
      </c>
      <c r="AB40">
        <v>8</v>
      </c>
      <c r="AC40" t="s">
        <v>41</v>
      </c>
      <c r="AD40" t="s">
        <v>41</v>
      </c>
      <c r="AE40" t="s">
        <v>41</v>
      </c>
      <c r="AF40" t="s">
        <v>41</v>
      </c>
      <c r="AG40" t="s">
        <v>41</v>
      </c>
      <c r="AH40" t="s">
        <v>41</v>
      </c>
      <c r="AI40" t="s">
        <v>41</v>
      </c>
      <c r="AJ40" t="s">
        <v>41</v>
      </c>
      <c r="AK40" t="s">
        <v>41</v>
      </c>
      <c r="AL40" t="s">
        <v>41</v>
      </c>
      <c r="AM40" t="s">
        <v>41</v>
      </c>
      <c r="AN40" t="s">
        <v>41</v>
      </c>
      <c r="AO40" t="s">
        <v>41</v>
      </c>
      <c r="AP40" t="s">
        <v>41</v>
      </c>
      <c r="AQ40" t="s">
        <v>41</v>
      </c>
      <c r="AR40" s="220" t="s">
        <v>41</v>
      </c>
      <c r="AS40" t="s">
        <v>252</v>
      </c>
      <c r="AT40">
        <v>2</v>
      </c>
      <c r="AU40" s="11">
        <v>0.37</v>
      </c>
      <c r="AV40" s="85" t="s">
        <v>41</v>
      </c>
      <c r="AW40" s="220">
        <v>0</v>
      </c>
      <c r="AX40" s="6">
        <f t="shared" si="6"/>
        <v>6.25</v>
      </c>
      <c r="AY40" s="9" t="str">
        <f t="shared" si="7"/>
        <v>Reg</v>
      </c>
      <c r="AZ40" s="9">
        <f t="shared" si="8"/>
        <v>6.583333333333333</v>
      </c>
      <c r="BA40" s="9" t="str">
        <f t="shared" si="9"/>
        <v>GoodReg</v>
      </c>
      <c r="BB40" s="9">
        <f t="shared" si="10"/>
        <v>6.583333333333333</v>
      </c>
      <c r="BC40" s="9" t="str">
        <f t="shared" si="11"/>
        <v>GoodReg</v>
      </c>
      <c r="BD40" s="84">
        <f t="shared" si="12"/>
        <v>2</v>
      </c>
      <c r="BE40" s="83">
        <f t="shared" si="13"/>
        <v>2</v>
      </c>
      <c r="BF40" t="str">
        <f t="shared" si="14"/>
        <v/>
      </c>
      <c r="BG40" s="91">
        <f>IF(O40="-","-",VLOOKUP($E40,CTPit!$E$10:$AW$75,BG$9,FALSE)-O40)</f>
        <v>0</v>
      </c>
      <c r="BH40" s="91">
        <f>IF(P40="-","-",VLOOKUP($E40,CTPit!$E$10:$AW$75,BH$9,FALSE)-P40)</f>
        <v>0</v>
      </c>
      <c r="BI40" s="91">
        <f>IF(Q40="-","-",VLOOKUP($E40,CTPit!$E$10:$AW$75,BI$9,FALSE)-Q40)</f>
        <v>0</v>
      </c>
      <c r="BJ40" s="91">
        <f>IF(R40="-","-",VLOOKUP($E40,CTPit!$E$10:$AW$75,BJ$9,FALSE)-R40)</f>
        <v>0</v>
      </c>
      <c r="BK40" s="91">
        <f>IF(S40="-","-",VLOOKUP($E40,CTPit!$E$10:$AW$75,BK$9,FALSE)-S40)</f>
        <v>0</v>
      </c>
      <c r="BL40" s="91">
        <f>IF(T40="-","-",VLOOKUP($E40,CTPit!$E$10:$AW$75,BL$9,FALSE)-T40)</f>
        <v>0</v>
      </c>
      <c r="BM40" s="91">
        <f>IF(U40="-","-",VLOOKUP($E40,CTPit!$E$10:$AW$75,BM$9,FALSE)-U40)</f>
        <v>0</v>
      </c>
      <c r="BN40" s="91">
        <f>IF(V40="-","-",VLOOKUP($E40,CTPit!$E$10:$AW$75,BN$9,FALSE)-V40)</f>
        <v>0</v>
      </c>
      <c r="BO40" s="91" t="str">
        <f>IF(W40="-","-",VLOOKUP($E40,CTPit!$E$10:$AW$75,BO$9,FALSE)-W40)</f>
        <v>-</v>
      </c>
      <c r="BP40" s="91" t="str">
        <f>IF(X40="-","-",VLOOKUP($E40,CTPit!$E$10:$AW$75,BP$9,FALSE)-X40)</f>
        <v>-</v>
      </c>
      <c r="BQ40" s="91" t="str">
        <f>IF(Y40="-","-",VLOOKUP($E40,CTPit!$E$10:$AW$75,BQ$9,FALSE)-Y40)</f>
        <v>-</v>
      </c>
      <c r="BR40" s="91" t="str">
        <f>IF(Z40="-","-",VLOOKUP($E40,CTPit!$E$10:$AW$75,BR$9,FALSE)-Z40)</f>
        <v>-</v>
      </c>
      <c r="BS40" s="91">
        <f>IF(AA40="-","-",VLOOKUP($E40,CTPit!$E$10:$AW$75,BS$9,FALSE)-AA40)</f>
        <v>0</v>
      </c>
      <c r="BT40" s="91">
        <f>IF(AB40="-","-",VLOOKUP($E40,CTPit!$E$10:$AW$75,BT$9,FALSE)-AB40)</f>
        <v>0</v>
      </c>
      <c r="BU40" s="91" t="str">
        <f>IF(AC40="-","-",VLOOKUP($E40,CTPit!$E$10:$AW$75,BU$9,FALSE)-AC40)</f>
        <v>-</v>
      </c>
      <c r="BV40" s="91" t="str">
        <f>IF(AD40="-","-",VLOOKUP($E40,CTPit!$E$10:$AW$75,BV$9,FALSE)-AD40)</f>
        <v>-</v>
      </c>
      <c r="BW40" s="91" t="str">
        <f>IF(AE40="-","-",VLOOKUP($E40,CTPit!$E$10:$AW$75,BW$9,FALSE)-AE40)</f>
        <v>-</v>
      </c>
      <c r="BX40" s="91" t="str">
        <f>IF(AF40="-","-",VLOOKUP($E40,CTPit!$E$10:$AW$75,BX$9,FALSE)-AF40)</f>
        <v>-</v>
      </c>
      <c r="BY40" s="91" t="str">
        <f>IF(AG40="-","-",VLOOKUP($E40,CTPit!$E$10:$AW$75,BY$9,FALSE)-AG40)</f>
        <v>-</v>
      </c>
      <c r="BZ40" s="91" t="str">
        <f>IF(AH40="-","-",VLOOKUP($E40,CTPit!$E$10:$AW$75,BZ$9,FALSE)-AH40)</f>
        <v>-</v>
      </c>
      <c r="CA40" s="91" t="str">
        <f>IF(AI40="-","-",VLOOKUP($E40,CTPit!$E$10:$AW$75,CA$9,FALSE)-AI40)</f>
        <v>-</v>
      </c>
      <c r="CB40" s="91" t="str">
        <f>IF(AJ40="-","-",VLOOKUP($E40,CTPit!$E$10:$AW$75,CB$9,FALSE)-AJ40)</f>
        <v>-</v>
      </c>
      <c r="CC40" s="91" t="str">
        <f>IF(AK40="-","-",VLOOKUP($E40,CTPit!$E$10:$AW$75,CC$9,FALSE)-AK40)</f>
        <v>-</v>
      </c>
      <c r="CD40" s="91" t="str">
        <f>IF(AL40="-","-",VLOOKUP($E40,CTPit!$E$10:$AW$75,CD$9,FALSE)-AL40)</f>
        <v>-</v>
      </c>
      <c r="CE40" s="91" t="str">
        <f>IF(AM40="-","-",VLOOKUP($E40,CTPit!$E$10:$AW$75,CE$9,FALSE)-AM40)</f>
        <v>-</v>
      </c>
      <c r="CF40" s="91" t="str">
        <f>IF(AN40="-","-",VLOOKUP($E40,CTPit!$E$10:$AW$75,CF$9,FALSE)-AN40)</f>
        <v>-</v>
      </c>
      <c r="CG40" s="91" t="str">
        <f>IF(AO40="-","-",VLOOKUP($E40,CTPit!$E$10:$AW$75,CG$9,FALSE)-AO40)</f>
        <v>-</v>
      </c>
      <c r="CH40" s="91" t="str">
        <f>IF(AP40="-","-",VLOOKUP($E40,CTPit!$E$10:$AW$75,CH$9,FALSE)-AP40)</f>
        <v>-</v>
      </c>
      <c r="CI40" s="91" t="str">
        <f>IF(AQ40="-","-",VLOOKUP($E40,CTPit!$E$10:$AW$75,CI$9,FALSE)-AQ40)</f>
        <v>-</v>
      </c>
      <c r="CJ40" s="91" t="str">
        <f>IF(AR40="-","-",VLOOKUP($E40,CTPit!$E$10:$AW$75,CJ$9,FALSE)-AR40)</f>
        <v>-</v>
      </c>
      <c r="CK40">
        <f t="shared" si="15"/>
        <v>0</v>
      </c>
    </row>
    <row r="41" spans="3:89">
      <c r="C41" t="str">
        <f t="shared" si="5"/>
        <v>K</v>
      </c>
      <c r="D41" t="s">
        <v>110</v>
      </c>
      <c r="E41" t="s">
        <v>8</v>
      </c>
      <c r="F41" t="s">
        <v>385</v>
      </c>
      <c r="G41" t="s">
        <v>214</v>
      </c>
      <c r="H41">
        <v>27</v>
      </c>
      <c r="I41" t="s">
        <v>106</v>
      </c>
      <c r="J41" s="220" t="s">
        <v>106</v>
      </c>
      <c r="K41" t="s">
        <v>47</v>
      </c>
      <c r="L41" t="s">
        <v>42</v>
      </c>
      <c r="M41" t="s">
        <v>228</v>
      </c>
      <c r="N41" s="220" t="s">
        <v>229</v>
      </c>
      <c r="O41">
        <v>5</v>
      </c>
      <c r="P41">
        <v>8</v>
      </c>
      <c r="Q41" s="220">
        <v>2</v>
      </c>
      <c r="R41">
        <v>5</v>
      </c>
      <c r="S41">
        <v>8</v>
      </c>
      <c r="T41" s="220">
        <v>3</v>
      </c>
      <c r="U41">
        <v>5</v>
      </c>
      <c r="V41">
        <v>5</v>
      </c>
      <c r="W41">
        <v>4</v>
      </c>
      <c r="X41">
        <v>4</v>
      </c>
      <c r="Y41" t="s">
        <v>41</v>
      </c>
      <c r="Z41" t="s">
        <v>41</v>
      </c>
      <c r="AA41">
        <v>3</v>
      </c>
      <c r="AB41">
        <v>3</v>
      </c>
      <c r="AC41">
        <v>6</v>
      </c>
      <c r="AD41">
        <v>6</v>
      </c>
      <c r="AE41" t="s">
        <v>41</v>
      </c>
      <c r="AF41" t="s">
        <v>41</v>
      </c>
      <c r="AG41">
        <v>5</v>
      </c>
      <c r="AH41">
        <v>5</v>
      </c>
      <c r="AI41" t="s">
        <v>41</v>
      </c>
      <c r="AJ41" t="s">
        <v>41</v>
      </c>
      <c r="AK41">
        <v>5</v>
      </c>
      <c r="AL41">
        <v>5</v>
      </c>
      <c r="AM41" t="s">
        <v>41</v>
      </c>
      <c r="AN41" t="s">
        <v>41</v>
      </c>
      <c r="AO41" t="s">
        <v>41</v>
      </c>
      <c r="AP41" t="s">
        <v>41</v>
      </c>
      <c r="AQ41" t="s">
        <v>41</v>
      </c>
      <c r="AR41" s="220" t="s">
        <v>41</v>
      </c>
      <c r="AS41" t="s">
        <v>6</v>
      </c>
      <c r="AT41">
        <v>2</v>
      </c>
      <c r="AU41" s="11">
        <v>0.56999999999999995</v>
      </c>
      <c r="AV41" s="85" t="s">
        <v>41</v>
      </c>
      <c r="AW41" s="220">
        <v>0</v>
      </c>
      <c r="AX41" s="6">
        <f t="shared" si="6"/>
        <v>6.25</v>
      </c>
      <c r="AY41" s="9" t="str">
        <f t="shared" si="7"/>
        <v>Reg</v>
      </c>
      <c r="AZ41" s="9">
        <f t="shared" si="8"/>
        <v>6.583333333333333</v>
      </c>
      <c r="BA41" s="9" t="str">
        <f t="shared" si="9"/>
        <v>GoodReg</v>
      </c>
      <c r="BB41" s="9">
        <f t="shared" si="10"/>
        <v>6.583333333333333</v>
      </c>
      <c r="BC41" s="9" t="str">
        <f t="shared" si="11"/>
        <v>GoodReg</v>
      </c>
      <c r="BD41" s="84">
        <f t="shared" si="12"/>
        <v>6</v>
      </c>
      <c r="BE41" s="83">
        <f t="shared" si="13"/>
        <v>1</v>
      </c>
      <c r="BF41" t="str">
        <f t="shared" si="14"/>
        <v/>
      </c>
      <c r="BG41" s="91" t="e">
        <f>IF(O41="-","-",VLOOKUP($E41,CTPit!$E$10:$AW$75,BG$9,FALSE)-O41)</f>
        <v>#N/A</v>
      </c>
      <c r="BH41" s="91" t="e">
        <f>IF(P41="-","-",VLOOKUP($E41,CTPit!$E$10:$AW$75,BH$9,FALSE)-P41)</f>
        <v>#N/A</v>
      </c>
      <c r="BI41" s="91" t="e">
        <f>IF(Q41="-","-",VLOOKUP($E41,CTPit!$E$10:$AW$75,BI$9,FALSE)-Q41)</f>
        <v>#N/A</v>
      </c>
      <c r="BJ41" s="91" t="e">
        <f>IF(R41="-","-",VLOOKUP($E41,CTPit!$E$10:$AW$75,BJ$9,FALSE)-R41)</f>
        <v>#N/A</v>
      </c>
      <c r="BK41" s="91" t="e">
        <f>IF(S41="-","-",VLOOKUP($E41,CTPit!$E$10:$AW$75,BK$9,FALSE)-S41)</f>
        <v>#N/A</v>
      </c>
      <c r="BL41" s="91" t="e">
        <f>IF(T41="-","-",VLOOKUP($E41,CTPit!$E$10:$AW$75,BL$9,FALSE)-T41)</f>
        <v>#N/A</v>
      </c>
      <c r="BM41" s="91" t="e">
        <f>IF(U41="-","-",VLOOKUP($E41,CTPit!$E$10:$AW$75,BM$9,FALSE)-U41)</f>
        <v>#N/A</v>
      </c>
      <c r="BN41" s="91" t="e">
        <f>IF(V41="-","-",VLOOKUP($E41,CTPit!$E$10:$AW$75,BN$9,FALSE)-V41)</f>
        <v>#N/A</v>
      </c>
      <c r="BO41" s="91" t="e">
        <f>IF(W41="-","-",VLOOKUP($E41,CTPit!$E$10:$AW$75,BO$9,FALSE)-W41)</f>
        <v>#N/A</v>
      </c>
      <c r="BP41" s="91" t="e">
        <f>IF(X41="-","-",VLOOKUP($E41,CTPit!$E$10:$AW$75,BP$9,FALSE)-X41)</f>
        <v>#N/A</v>
      </c>
      <c r="BQ41" s="91" t="str">
        <f>IF(Y41="-","-",VLOOKUP($E41,CTPit!$E$10:$AW$75,BQ$9,FALSE)-Y41)</f>
        <v>-</v>
      </c>
      <c r="BR41" s="91" t="str">
        <f>IF(Z41="-","-",VLOOKUP($E41,CTPit!$E$10:$AW$75,BR$9,FALSE)-Z41)</f>
        <v>-</v>
      </c>
      <c r="BS41" s="91" t="e">
        <f>IF(AA41="-","-",VLOOKUP($E41,CTPit!$E$10:$AW$75,BS$9,FALSE)-AA41)</f>
        <v>#N/A</v>
      </c>
      <c r="BT41" s="91" t="e">
        <f>IF(AB41="-","-",VLOOKUP($E41,CTPit!$E$10:$AW$75,BT$9,FALSE)-AB41)</f>
        <v>#N/A</v>
      </c>
      <c r="BU41" s="91" t="e">
        <f>IF(AC41="-","-",VLOOKUP($E41,CTPit!$E$10:$AW$75,BU$9,FALSE)-AC41)</f>
        <v>#N/A</v>
      </c>
      <c r="BV41" s="91" t="e">
        <f>IF(AD41="-","-",VLOOKUP($E41,CTPit!$E$10:$AW$75,BV$9,FALSE)-AD41)</f>
        <v>#N/A</v>
      </c>
      <c r="BW41" s="91" t="str">
        <f>IF(AE41="-","-",VLOOKUP($E41,CTPit!$E$10:$AW$75,BW$9,FALSE)-AE41)</f>
        <v>-</v>
      </c>
      <c r="BX41" s="91" t="str">
        <f>IF(AF41="-","-",VLOOKUP($E41,CTPit!$E$10:$AW$75,BX$9,FALSE)-AF41)</f>
        <v>-</v>
      </c>
      <c r="BY41" s="91" t="e">
        <f>IF(AG41="-","-",VLOOKUP($E41,CTPit!$E$10:$AW$75,BY$9,FALSE)-AG41)</f>
        <v>#N/A</v>
      </c>
      <c r="BZ41" s="91" t="e">
        <f>IF(AH41="-","-",VLOOKUP($E41,CTPit!$E$10:$AW$75,BZ$9,FALSE)-AH41)</f>
        <v>#N/A</v>
      </c>
      <c r="CA41" s="91" t="str">
        <f>IF(AI41="-","-",VLOOKUP($E41,CTPit!$E$10:$AW$75,CA$9,FALSE)-AI41)</f>
        <v>-</v>
      </c>
      <c r="CB41" s="91" t="str">
        <f>IF(AJ41="-","-",VLOOKUP($E41,CTPit!$E$10:$AW$75,CB$9,FALSE)-AJ41)</f>
        <v>-</v>
      </c>
      <c r="CC41" s="91" t="e">
        <f>IF(AK41="-","-",VLOOKUP($E41,CTPit!$E$10:$AW$75,CC$9,FALSE)-AK41)</f>
        <v>#N/A</v>
      </c>
      <c r="CD41" s="91" t="e">
        <f>IF(AL41="-","-",VLOOKUP($E41,CTPit!$E$10:$AW$75,CD$9,FALSE)-AL41)</f>
        <v>#N/A</v>
      </c>
      <c r="CE41" s="91" t="str">
        <f>IF(AM41="-","-",VLOOKUP($E41,CTPit!$E$10:$AW$75,CE$9,FALSE)-AM41)</f>
        <v>-</v>
      </c>
      <c r="CF41" s="91" t="str">
        <f>IF(AN41="-","-",VLOOKUP($E41,CTPit!$E$10:$AW$75,CF$9,FALSE)-AN41)</f>
        <v>-</v>
      </c>
      <c r="CG41" s="91" t="str">
        <f>IF(AO41="-","-",VLOOKUP($E41,CTPit!$E$10:$AW$75,CG$9,FALSE)-AO41)</f>
        <v>-</v>
      </c>
      <c r="CH41" s="91" t="str">
        <f>IF(AP41="-","-",VLOOKUP($E41,CTPit!$E$10:$AW$75,CH$9,FALSE)-AP41)</f>
        <v>-</v>
      </c>
      <c r="CI41" s="91" t="str">
        <f>IF(AQ41="-","-",VLOOKUP($E41,CTPit!$E$10:$AW$75,CI$9,FALSE)-AQ41)</f>
        <v>-</v>
      </c>
      <c r="CJ41" s="91" t="str">
        <f>IF(AR41="-","-",VLOOKUP($E41,CTPit!$E$10:$AW$75,CJ$9,FALSE)-AR41)</f>
        <v>-</v>
      </c>
      <c r="CK41" t="e">
        <f t="shared" si="15"/>
        <v>#N/A</v>
      </c>
    </row>
    <row r="42" spans="3:89">
      <c r="C42" t="str">
        <f t="shared" si="5"/>
        <v>K</v>
      </c>
      <c r="D42" t="s">
        <v>110</v>
      </c>
      <c r="E42" t="s">
        <v>49</v>
      </c>
      <c r="F42" t="s">
        <v>25</v>
      </c>
      <c r="G42" t="s">
        <v>212</v>
      </c>
      <c r="H42">
        <v>28</v>
      </c>
      <c r="I42" t="s">
        <v>107</v>
      </c>
      <c r="J42" s="220" t="s">
        <v>106</v>
      </c>
      <c r="K42" t="s">
        <v>42</v>
      </c>
      <c r="L42" t="s">
        <v>40</v>
      </c>
      <c r="M42" t="s">
        <v>228</v>
      </c>
      <c r="N42" s="220" t="s">
        <v>232</v>
      </c>
      <c r="O42">
        <v>9</v>
      </c>
      <c r="P42">
        <v>5</v>
      </c>
      <c r="Q42" s="220">
        <v>3</v>
      </c>
      <c r="R42">
        <v>9</v>
      </c>
      <c r="S42">
        <v>5</v>
      </c>
      <c r="T42" s="220">
        <v>4</v>
      </c>
      <c r="U42">
        <v>9</v>
      </c>
      <c r="V42">
        <v>9</v>
      </c>
      <c r="W42">
        <v>7</v>
      </c>
      <c r="X42">
        <v>7</v>
      </c>
      <c r="Y42" t="s">
        <v>41</v>
      </c>
      <c r="Z42" t="s">
        <v>41</v>
      </c>
      <c r="AA42" t="s">
        <v>41</v>
      </c>
      <c r="AB42" t="s">
        <v>41</v>
      </c>
      <c r="AC42" t="s">
        <v>41</v>
      </c>
      <c r="AD42" t="s">
        <v>41</v>
      </c>
      <c r="AE42" t="s">
        <v>41</v>
      </c>
      <c r="AF42" t="s">
        <v>41</v>
      </c>
      <c r="AG42" t="s">
        <v>41</v>
      </c>
      <c r="AH42" t="s">
        <v>41</v>
      </c>
      <c r="AI42" t="s">
        <v>41</v>
      </c>
      <c r="AJ42" t="s">
        <v>41</v>
      </c>
      <c r="AK42" t="s">
        <v>41</v>
      </c>
      <c r="AL42" t="s">
        <v>41</v>
      </c>
      <c r="AM42">
        <v>4</v>
      </c>
      <c r="AN42">
        <v>4</v>
      </c>
      <c r="AO42" t="s">
        <v>41</v>
      </c>
      <c r="AP42" t="s">
        <v>41</v>
      </c>
      <c r="AQ42" t="s">
        <v>41</v>
      </c>
      <c r="AR42" s="220" t="s">
        <v>41</v>
      </c>
      <c r="AS42" t="s">
        <v>14</v>
      </c>
      <c r="AT42">
        <v>1</v>
      </c>
      <c r="AU42" s="11">
        <v>0.53</v>
      </c>
      <c r="AV42" s="85">
        <v>490000</v>
      </c>
      <c r="AW42" s="220" t="s">
        <v>45</v>
      </c>
      <c r="AX42" s="6">
        <f t="shared" si="6"/>
        <v>5.916666666666667</v>
      </c>
      <c r="AY42" s="9" t="str">
        <f t="shared" si="7"/>
        <v>Reg</v>
      </c>
      <c r="AZ42" s="9">
        <f t="shared" si="8"/>
        <v>6.25</v>
      </c>
      <c r="BA42" s="9" t="str">
        <f t="shared" si="9"/>
        <v>Reg</v>
      </c>
      <c r="BB42" s="9">
        <f t="shared" si="10"/>
        <v>6.25</v>
      </c>
      <c r="BC42" s="9" t="str">
        <f t="shared" si="11"/>
        <v>Reg</v>
      </c>
      <c r="BD42" s="84">
        <f t="shared" si="12"/>
        <v>3</v>
      </c>
      <c r="BE42" s="83">
        <f t="shared" si="13"/>
        <v>2</v>
      </c>
      <c r="BF42" t="str">
        <f t="shared" si="14"/>
        <v/>
      </c>
      <c r="BG42" s="91">
        <f>IF(O42="-","-",VLOOKUP($E42,CTPit!$E$10:$AW$75,BG$9,FALSE)-O42)</f>
        <v>0</v>
      </c>
      <c r="BH42" s="91">
        <f>IF(P42="-","-",VLOOKUP($E42,CTPit!$E$10:$AW$75,BH$9,FALSE)-P42)</f>
        <v>0</v>
      </c>
      <c r="BI42" s="91">
        <f>IF(Q42="-","-",VLOOKUP($E42,CTPit!$E$10:$AW$75,BI$9,FALSE)-Q42)</f>
        <v>0</v>
      </c>
      <c r="BJ42" s="91">
        <f>IF(R42="-","-",VLOOKUP($E42,CTPit!$E$10:$AW$75,BJ$9,FALSE)-R42)</f>
        <v>0</v>
      </c>
      <c r="BK42" s="91">
        <f>IF(S42="-","-",VLOOKUP($E42,CTPit!$E$10:$AW$75,BK$9,FALSE)-S42)</f>
        <v>0</v>
      </c>
      <c r="BL42" s="91">
        <f>IF(T42="-","-",VLOOKUP($E42,CTPit!$E$10:$AW$75,BL$9,FALSE)-T42)</f>
        <v>0</v>
      </c>
      <c r="BM42" s="91">
        <f>IF(U42="-","-",VLOOKUP($E42,CTPit!$E$10:$AW$75,BM$9,FALSE)-U42)</f>
        <v>0</v>
      </c>
      <c r="BN42" s="91">
        <f>IF(V42="-","-",VLOOKUP($E42,CTPit!$E$10:$AW$75,BN$9,FALSE)-V42)</f>
        <v>0</v>
      </c>
      <c r="BO42" s="91">
        <f>IF(W42="-","-",VLOOKUP($E42,CTPit!$E$10:$AW$75,BO$9,FALSE)-W42)</f>
        <v>0</v>
      </c>
      <c r="BP42" s="91">
        <f>IF(X42="-","-",VLOOKUP($E42,CTPit!$E$10:$AW$75,BP$9,FALSE)-X42)</f>
        <v>0</v>
      </c>
      <c r="BQ42" s="91" t="str">
        <f>IF(Y42="-","-",VLOOKUP($E42,CTPit!$E$10:$AW$75,BQ$9,FALSE)-Y42)</f>
        <v>-</v>
      </c>
      <c r="BR42" s="91" t="str">
        <f>IF(Z42="-","-",VLOOKUP($E42,CTPit!$E$10:$AW$75,BR$9,FALSE)-Z42)</f>
        <v>-</v>
      </c>
      <c r="BS42" s="91" t="str">
        <f>IF(AA42="-","-",VLOOKUP($E42,CTPit!$E$10:$AW$75,BS$9,FALSE)-AA42)</f>
        <v>-</v>
      </c>
      <c r="BT42" s="91" t="str">
        <f>IF(AB42="-","-",VLOOKUP($E42,CTPit!$E$10:$AW$75,BT$9,FALSE)-AB42)</f>
        <v>-</v>
      </c>
      <c r="BU42" s="91" t="str">
        <f>IF(AC42="-","-",VLOOKUP($E42,CTPit!$E$10:$AW$75,BU$9,FALSE)-AC42)</f>
        <v>-</v>
      </c>
      <c r="BV42" s="91" t="str">
        <f>IF(AD42="-","-",VLOOKUP($E42,CTPit!$E$10:$AW$75,BV$9,FALSE)-AD42)</f>
        <v>-</v>
      </c>
      <c r="BW42" s="91" t="str">
        <f>IF(AE42="-","-",VLOOKUP($E42,CTPit!$E$10:$AW$75,BW$9,FALSE)-AE42)</f>
        <v>-</v>
      </c>
      <c r="BX42" s="91" t="str">
        <f>IF(AF42="-","-",VLOOKUP($E42,CTPit!$E$10:$AW$75,BX$9,FALSE)-AF42)</f>
        <v>-</v>
      </c>
      <c r="BY42" s="91" t="str">
        <f>IF(AG42="-","-",VLOOKUP($E42,CTPit!$E$10:$AW$75,BY$9,FALSE)-AG42)</f>
        <v>-</v>
      </c>
      <c r="BZ42" s="91" t="str">
        <f>IF(AH42="-","-",VLOOKUP($E42,CTPit!$E$10:$AW$75,BZ$9,FALSE)-AH42)</f>
        <v>-</v>
      </c>
      <c r="CA42" s="91" t="str">
        <f>IF(AI42="-","-",VLOOKUP($E42,CTPit!$E$10:$AW$75,CA$9,FALSE)-AI42)</f>
        <v>-</v>
      </c>
      <c r="CB42" s="91" t="str">
        <f>IF(AJ42="-","-",VLOOKUP($E42,CTPit!$E$10:$AW$75,CB$9,FALSE)-AJ42)</f>
        <v>-</v>
      </c>
      <c r="CC42" s="91" t="str">
        <f>IF(AK42="-","-",VLOOKUP($E42,CTPit!$E$10:$AW$75,CC$9,FALSE)-AK42)</f>
        <v>-</v>
      </c>
      <c r="CD42" s="91" t="str">
        <f>IF(AL42="-","-",VLOOKUP($E42,CTPit!$E$10:$AW$75,CD$9,FALSE)-AL42)</f>
        <v>-</v>
      </c>
      <c r="CE42" s="91">
        <f>IF(AM42="-","-",VLOOKUP($E42,CTPit!$E$10:$AW$75,CE$9,FALSE)-AM42)</f>
        <v>0</v>
      </c>
      <c r="CF42" s="91">
        <f>IF(AN42="-","-",VLOOKUP($E42,CTPit!$E$10:$AW$75,CF$9,FALSE)-AN42)</f>
        <v>0</v>
      </c>
      <c r="CG42" s="91" t="str">
        <f>IF(AO42="-","-",VLOOKUP($E42,CTPit!$E$10:$AW$75,CG$9,FALSE)-AO42)</f>
        <v>-</v>
      </c>
      <c r="CH42" s="91" t="str">
        <f>IF(AP42="-","-",VLOOKUP($E42,CTPit!$E$10:$AW$75,CH$9,FALSE)-AP42)</f>
        <v>-</v>
      </c>
      <c r="CI42" s="91" t="str">
        <f>IF(AQ42="-","-",VLOOKUP($E42,CTPit!$E$10:$AW$75,CI$9,FALSE)-AQ42)</f>
        <v>-</v>
      </c>
      <c r="CJ42" s="91" t="str">
        <f>IF(AR42="-","-",VLOOKUP($E42,CTPit!$E$10:$AW$75,CJ$9,FALSE)-AR42)</f>
        <v>-</v>
      </c>
      <c r="CK42">
        <f t="shared" si="15"/>
        <v>0</v>
      </c>
    </row>
    <row r="43" spans="3:89">
      <c r="C43" t="str">
        <f t="shared" ref="C43:C74" si="16">IF(OR(M43&gt;7,AND(M43&gt;4,N43&gt;5)),"K","T")</f>
        <v>K</v>
      </c>
      <c r="D43" t="s">
        <v>111</v>
      </c>
      <c r="E43" t="s">
        <v>57</v>
      </c>
      <c r="F43" t="s">
        <v>385</v>
      </c>
      <c r="G43" t="s">
        <v>214</v>
      </c>
      <c r="H43">
        <v>23</v>
      </c>
      <c r="I43" t="s">
        <v>106</v>
      </c>
      <c r="J43" s="220" t="s">
        <v>106</v>
      </c>
      <c r="K43" t="s">
        <v>42</v>
      </c>
      <c r="L43" t="s">
        <v>40</v>
      </c>
      <c r="M43" t="s">
        <v>229</v>
      </c>
      <c r="N43" s="220" t="s">
        <v>231</v>
      </c>
      <c r="O43">
        <v>10</v>
      </c>
      <c r="P43">
        <v>4</v>
      </c>
      <c r="Q43" s="220">
        <v>3</v>
      </c>
      <c r="R43">
        <v>10</v>
      </c>
      <c r="S43">
        <v>4</v>
      </c>
      <c r="T43" s="220">
        <v>4</v>
      </c>
      <c r="U43">
        <v>10</v>
      </c>
      <c r="V43">
        <v>10</v>
      </c>
      <c r="W43" t="s">
        <v>41</v>
      </c>
      <c r="X43" t="s">
        <v>41</v>
      </c>
      <c r="Y43" t="s">
        <v>41</v>
      </c>
      <c r="Z43" t="s">
        <v>41</v>
      </c>
      <c r="AA43">
        <v>10</v>
      </c>
      <c r="AB43">
        <v>10</v>
      </c>
      <c r="AC43" t="s">
        <v>41</v>
      </c>
      <c r="AD43" t="s">
        <v>41</v>
      </c>
      <c r="AE43" t="s">
        <v>41</v>
      </c>
      <c r="AF43" t="s">
        <v>41</v>
      </c>
      <c r="AG43" t="s">
        <v>41</v>
      </c>
      <c r="AH43" t="s">
        <v>41</v>
      </c>
      <c r="AI43" t="s">
        <v>41</v>
      </c>
      <c r="AJ43" t="s">
        <v>41</v>
      </c>
      <c r="AK43" t="s">
        <v>41</v>
      </c>
      <c r="AL43" t="s">
        <v>41</v>
      </c>
      <c r="AM43" t="s">
        <v>41</v>
      </c>
      <c r="AN43" t="s">
        <v>41</v>
      </c>
      <c r="AO43" t="s">
        <v>41</v>
      </c>
      <c r="AP43" t="s">
        <v>41</v>
      </c>
      <c r="AQ43" t="s">
        <v>41</v>
      </c>
      <c r="AR43" s="220" t="s">
        <v>41</v>
      </c>
      <c r="AS43" t="s">
        <v>419</v>
      </c>
      <c r="AT43">
        <v>7</v>
      </c>
      <c r="AU43" s="11">
        <v>0.38</v>
      </c>
      <c r="AV43" s="85" t="s">
        <v>41</v>
      </c>
      <c r="AW43" s="220">
        <v>0</v>
      </c>
      <c r="AX43" s="6">
        <f t="shared" ref="AX43:AX74" si="17">AVERAGE(O43:Q43)+0.25*MAX(0,(COUNT(U43,W43,Y43,AA43,AC43,AE43,AG43,AI43,AK43,AM43,AO43,AQ43)-3))+IF(AU43&gt;0.55,0.25,0)+IF(MAX(U43,W43,Y43,AA43,AC43,AE43,AG43,AI43,AK43,AM43,AO43,AQ43)&gt;5,0.25,0)</f>
        <v>5.916666666666667</v>
      </c>
      <c r="AY43" s="9" t="str">
        <f t="shared" ref="AY43:AY74" si="18">IF(AX43&gt;9,"SuperStar",IF(AX43&gt;8,"Star",IF(AX43&gt;6.5,"GoodReg",IF(AX43&gt;5,"Reg",IF(AX43&gt;4,"Bench","Minors")))))</f>
        <v>Reg</v>
      </c>
      <c r="AZ43" s="9">
        <f t="shared" ref="AZ43:AZ74" si="19">AVERAGE(R43:T43)+0.25*MAX(0,(COUNT(V43,X43,Z43,AB43,AD43,AF43,AH43,AJ43,AL43,AN43,AP43,AR43)-3))+IF(AU43&gt;0.55,0.25,0)+IF(MAX(V43,X43,Z43,AB43,AD43,AF43,AH43,AJ43,AL43,AN43,AP43,AR43)&gt;5,0.25,0)</f>
        <v>6.25</v>
      </c>
      <c r="BA43" s="9" t="str">
        <f t="shared" ref="BA43:BA74" si="20">IF(AZ43&gt;9,"SuperStar",IF(AZ43&gt;8,"Star",IF(AZ43&gt;6.5,"GoodReg",IF(AZ43&gt;5,"Reg",IF(AZ43&gt;4,"Bench","Minors")))))</f>
        <v>Reg</v>
      </c>
      <c r="BB43" s="9">
        <f t="shared" ref="BB43:BB74" si="21">MIN(AX43+(MAX(0,25-S43))^1.5,AZ43)</f>
        <v>6.25</v>
      </c>
      <c r="BC43" s="9" t="str">
        <f t="shared" ref="BC43:BC74" si="22">IF(BB43&gt;9,"SuperStar",IF(BB43&gt;8,"Star",IF(BB43&gt;6.5,"GoodReg",IF(BB43&gt;5,"Reg",IF(BB43&gt;4,"Bench","Minors")))))</f>
        <v>Reg</v>
      </c>
      <c r="BD43" s="84">
        <f t="shared" ref="BD43:BD74" si="23">COUNT(U43:AR43)/2</f>
        <v>2</v>
      </c>
      <c r="BE43" s="83">
        <f t="shared" ref="BE43:BE74" si="24">COUNTIF(U43:AR43,"&gt;5")/2</f>
        <v>2</v>
      </c>
      <c r="BF43" t="str">
        <f t="shared" ref="BF43:BF74" si="25">IF(AW43=1,"Yes","")</f>
        <v/>
      </c>
      <c r="BG43" s="91">
        <f>IF(O43="-","-",VLOOKUP($E43,CTPit!$E$10:$AW$75,BG$9,FALSE)-O43)</f>
        <v>0</v>
      </c>
      <c r="BH43" s="91">
        <f>IF(P43="-","-",VLOOKUP($E43,CTPit!$E$10:$AW$75,BH$9,FALSE)-P43)</f>
        <v>0</v>
      </c>
      <c r="BI43" s="91">
        <f>IF(Q43="-","-",VLOOKUP($E43,CTPit!$E$10:$AW$75,BI$9,FALSE)-Q43)</f>
        <v>0</v>
      </c>
      <c r="BJ43" s="91">
        <f>IF(R43="-","-",VLOOKUP($E43,CTPit!$E$10:$AW$75,BJ$9,FALSE)-R43)</f>
        <v>0</v>
      </c>
      <c r="BK43" s="91">
        <f>IF(S43="-","-",VLOOKUP($E43,CTPit!$E$10:$AW$75,BK$9,FALSE)-S43)</f>
        <v>0</v>
      </c>
      <c r="BL43" s="91">
        <f>IF(T43="-","-",VLOOKUP($E43,CTPit!$E$10:$AW$75,BL$9,FALSE)-T43)</f>
        <v>0</v>
      </c>
      <c r="BM43" s="91">
        <f>IF(U43="-","-",VLOOKUP($E43,CTPit!$E$10:$AW$75,BM$9,FALSE)-U43)</f>
        <v>0</v>
      </c>
      <c r="BN43" s="91">
        <f>IF(V43="-","-",VLOOKUP($E43,CTPit!$E$10:$AW$75,BN$9,FALSE)-V43)</f>
        <v>0</v>
      </c>
      <c r="BO43" s="91" t="str">
        <f>IF(W43="-","-",VLOOKUP($E43,CTPit!$E$10:$AW$75,BO$9,FALSE)-W43)</f>
        <v>-</v>
      </c>
      <c r="BP43" s="91" t="str">
        <f>IF(X43="-","-",VLOOKUP($E43,CTPit!$E$10:$AW$75,BP$9,FALSE)-X43)</f>
        <v>-</v>
      </c>
      <c r="BQ43" s="91" t="str">
        <f>IF(Y43="-","-",VLOOKUP($E43,CTPit!$E$10:$AW$75,BQ$9,FALSE)-Y43)</f>
        <v>-</v>
      </c>
      <c r="BR43" s="91" t="str">
        <f>IF(Z43="-","-",VLOOKUP($E43,CTPit!$E$10:$AW$75,BR$9,FALSE)-Z43)</f>
        <v>-</v>
      </c>
      <c r="BS43" s="91">
        <f>IF(AA43="-","-",VLOOKUP($E43,CTPit!$E$10:$AW$75,BS$9,FALSE)-AA43)</f>
        <v>0</v>
      </c>
      <c r="BT43" s="91">
        <f>IF(AB43="-","-",VLOOKUP($E43,CTPit!$E$10:$AW$75,BT$9,FALSE)-AB43)</f>
        <v>0</v>
      </c>
      <c r="BU43" s="91" t="str">
        <f>IF(AC43="-","-",VLOOKUP($E43,CTPit!$E$10:$AW$75,BU$9,FALSE)-AC43)</f>
        <v>-</v>
      </c>
      <c r="BV43" s="91" t="str">
        <f>IF(AD43="-","-",VLOOKUP($E43,CTPit!$E$10:$AW$75,BV$9,FALSE)-AD43)</f>
        <v>-</v>
      </c>
      <c r="BW43" s="91" t="str">
        <f>IF(AE43="-","-",VLOOKUP($E43,CTPit!$E$10:$AW$75,BW$9,FALSE)-AE43)</f>
        <v>-</v>
      </c>
      <c r="BX43" s="91" t="str">
        <f>IF(AF43="-","-",VLOOKUP($E43,CTPit!$E$10:$AW$75,BX$9,FALSE)-AF43)</f>
        <v>-</v>
      </c>
      <c r="BY43" s="91" t="str">
        <f>IF(AG43="-","-",VLOOKUP($E43,CTPit!$E$10:$AW$75,BY$9,FALSE)-AG43)</f>
        <v>-</v>
      </c>
      <c r="BZ43" s="91" t="str">
        <f>IF(AH43="-","-",VLOOKUP($E43,CTPit!$E$10:$AW$75,BZ$9,FALSE)-AH43)</f>
        <v>-</v>
      </c>
      <c r="CA43" s="91" t="str">
        <f>IF(AI43="-","-",VLOOKUP($E43,CTPit!$E$10:$AW$75,CA$9,FALSE)-AI43)</f>
        <v>-</v>
      </c>
      <c r="CB43" s="91" t="str">
        <f>IF(AJ43="-","-",VLOOKUP($E43,CTPit!$E$10:$AW$75,CB$9,FALSE)-AJ43)</f>
        <v>-</v>
      </c>
      <c r="CC43" s="91" t="str">
        <f>IF(AK43="-","-",VLOOKUP($E43,CTPit!$E$10:$AW$75,CC$9,FALSE)-AK43)</f>
        <v>-</v>
      </c>
      <c r="CD43" s="91" t="str">
        <f>IF(AL43="-","-",VLOOKUP($E43,CTPit!$E$10:$AW$75,CD$9,FALSE)-AL43)</f>
        <v>-</v>
      </c>
      <c r="CE43" s="91" t="str">
        <f>IF(AM43="-","-",VLOOKUP($E43,CTPit!$E$10:$AW$75,CE$9,FALSE)-AM43)</f>
        <v>-</v>
      </c>
      <c r="CF43" s="91" t="str">
        <f>IF(AN43="-","-",VLOOKUP($E43,CTPit!$E$10:$AW$75,CF$9,FALSE)-AN43)</f>
        <v>-</v>
      </c>
      <c r="CG43" s="91" t="str">
        <f>IF(AO43="-","-",VLOOKUP($E43,CTPit!$E$10:$AW$75,CG$9,FALSE)-AO43)</f>
        <v>-</v>
      </c>
      <c r="CH43" s="91" t="str">
        <f>IF(AP43="-","-",VLOOKUP($E43,CTPit!$E$10:$AW$75,CH$9,FALSE)-AP43)</f>
        <v>-</v>
      </c>
      <c r="CI43" s="91" t="str">
        <f>IF(AQ43="-","-",VLOOKUP($E43,CTPit!$E$10:$AW$75,CI$9,FALSE)-AQ43)</f>
        <v>-</v>
      </c>
      <c r="CJ43" s="91" t="str">
        <f>IF(AR43="-","-",VLOOKUP($E43,CTPit!$E$10:$AW$75,CJ$9,FALSE)-AR43)</f>
        <v>-</v>
      </c>
      <c r="CK43">
        <f t="shared" ref="CK43:CK74" si="26">SUM(BG43:CJ43)</f>
        <v>0</v>
      </c>
    </row>
    <row r="44" spans="3:89">
      <c r="C44" t="str">
        <f t="shared" si="16"/>
        <v>K</v>
      </c>
      <c r="D44" t="s">
        <v>111</v>
      </c>
      <c r="E44" t="s">
        <v>447</v>
      </c>
      <c r="F44" t="s">
        <v>384</v>
      </c>
      <c r="G44" t="s">
        <v>213</v>
      </c>
      <c r="H44">
        <v>25</v>
      </c>
      <c r="I44" t="s">
        <v>107</v>
      </c>
      <c r="J44" s="220" t="s">
        <v>107</v>
      </c>
      <c r="K44" t="s">
        <v>42</v>
      </c>
      <c r="L44" t="s">
        <v>42</v>
      </c>
      <c r="M44" t="s">
        <v>231</v>
      </c>
      <c r="N44" s="220" t="s">
        <v>229</v>
      </c>
      <c r="O44">
        <v>6</v>
      </c>
      <c r="P44">
        <v>7</v>
      </c>
      <c r="Q44" s="220">
        <v>3</v>
      </c>
      <c r="R44">
        <v>6</v>
      </c>
      <c r="S44">
        <v>7</v>
      </c>
      <c r="T44" s="220">
        <v>3</v>
      </c>
      <c r="U44">
        <v>8</v>
      </c>
      <c r="V44">
        <v>8</v>
      </c>
      <c r="W44">
        <v>3</v>
      </c>
      <c r="X44">
        <v>3</v>
      </c>
      <c r="Y44">
        <v>8</v>
      </c>
      <c r="Z44">
        <v>8</v>
      </c>
      <c r="AA44" t="s">
        <v>41</v>
      </c>
      <c r="AB44" t="s">
        <v>41</v>
      </c>
      <c r="AC44" t="s">
        <v>41</v>
      </c>
      <c r="AD44" t="s">
        <v>41</v>
      </c>
      <c r="AE44" t="s">
        <v>41</v>
      </c>
      <c r="AF44" t="s">
        <v>41</v>
      </c>
      <c r="AG44" t="s">
        <v>41</v>
      </c>
      <c r="AH44" t="s">
        <v>41</v>
      </c>
      <c r="AI44" t="s">
        <v>41</v>
      </c>
      <c r="AJ44" t="s">
        <v>41</v>
      </c>
      <c r="AK44" t="s">
        <v>41</v>
      </c>
      <c r="AL44" t="s">
        <v>41</v>
      </c>
      <c r="AM44" t="s">
        <v>41</v>
      </c>
      <c r="AN44" t="s">
        <v>41</v>
      </c>
      <c r="AO44" t="s">
        <v>41</v>
      </c>
      <c r="AP44" t="s">
        <v>41</v>
      </c>
      <c r="AQ44" t="s">
        <v>41</v>
      </c>
      <c r="AR44" s="220" t="s">
        <v>41</v>
      </c>
      <c r="AS44" t="s">
        <v>5</v>
      </c>
      <c r="AT44">
        <v>5</v>
      </c>
      <c r="AU44" s="11">
        <v>0.67</v>
      </c>
      <c r="AV44" s="85" t="s">
        <v>41</v>
      </c>
      <c r="AW44" s="220">
        <v>0</v>
      </c>
      <c r="AX44" s="6">
        <f t="shared" si="17"/>
        <v>5.833333333333333</v>
      </c>
      <c r="AY44" s="9" t="str">
        <f t="shared" si="18"/>
        <v>Reg</v>
      </c>
      <c r="AZ44" s="9">
        <f t="shared" si="19"/>
        <v>5.833333333333333</v>
      </c>
      <c r="BA44" s="9" t="str">
        <f t="shared" si="20"/>
        <v>Reg</v>
      </c>
      <c r="BB44" s="9">
        <f t="shared" si="21"/>
        <v>5.833333333333333</v>
      </c>
      <c r="BC44" s="9" t="str">
        <f t="shared" si="22"/>
        <v>Reg</v>
      </c>
      <c r="BD44" s="84">
        <f t="shared" si="23"/>
        <v>3</v>
      </c>
      <c r="BE44" s="83">
        <f t="shared" si="24"/>
        <v>2</v>
      </c>
      <c r="BF44" t="str">
        <f t="shared" si="25"/>
        <v/>
      </c>
      <c r="BG44" s="91">
        <f>IF(O44="-","-",VLOOKUP($E44,CTPit!$E$10:$AW$75,BG$9,FALSE)-O44)</f>
        <v>0</v>
      </c>
      <c r="BH44" s="91">
        <f>IF(P44="-","-",VLOOKUP($E44,CTPit!$E$10:$AW$75,BH$9,FALSE)-P44)</f>
        <v>0</v>
      </c>
      <c r="BI44" s="91">
        <f>IF(Q44="-","-",VLOOKUP($E44,CTPit!$E$10:$AW$75,BI$9,FALSE)-Q44)</f>
        <v>0</v>
      </c>
      <c r="BJ44" s="91">
        <f>IF(R44="-","-",VLOOKUP($E44,CTPit!$E$10:$AW$75,BJ$9,FALSE)-R44)</f>
        <v>0</v>
      </c>
      <c r="BK44" s="91">
        <f>IF(S44="-","-",VLOOKUP($E44,CTPit!$E$10:$AW$75,BK$9,FALSE)-S44)</f>
        <v>0</v>
      </c>
      <c r="BL44" s="91">
        <f>IF(T44="-","-",VLOOKUP($E44,CTPit!$E$10:$AW$75,BL$9,FALSE)-T44)</f>
        <v>0</v>
      </c>
      <c r="BM44" s="91">
        <f>IF(U44="-","-",VLOOKUP($E44,CTPit!$E$10:$AW$75,BM$9,FALSE)-U44)</f>
        <v>0</v>
      </c>
      <c r="BN44" s="91">
        <f>IF(V44="-","-",VLOOKUP($E44,CTPit!$E$10:$AW$75,BN$9,FALSE)-V44)</f>
        <v>0</v>
      </c>
      <c r="BO44" s="91">
        <f>IF(W44="-","-",VLOOKUP($E44,CTPit!$E$10:$AW$75,BO$9,FALSE)-W44)</f>
        <v>0</v>
      </c>
      <c r="BP44" s="91">
        <f>IF(X44="-","-",VLOOKUP($E44,CTPit!$E$10:$AW$75,BP$9,FALSE)-X44)</f>
        <v>0</v>
      </c>
      <c r="BQ44" s="91">
        <f>IF(Y44="-","-",VLOOKUP($E44,CTPit!$E$10:$AW$75,BQ$9,FALSE)-Y44)</f>
        <v>0</v>
      </c>
      <c r="BR44" s="91">
        <f>IF(Z44="-","-",VLOOKUP($E44,CTPit!$E$10:$AW$75,BR$9,FALSE)-Z44)</f>
        <v>0</v>
      </c>
      <c r="BS44" s="91" t="str">
        <f>IF(AA44="-","-",VLOOKUP($E44,CTPit!$E$10:$AW$75,BS$9,FALSE)-AA44)</f>
        <v>-</v>
      </c>
      <c r="BT44" s="91" t="str">
        <f>IF(AB44="-","-",VLOOKUP($E44,CTPit!$E$10:$AW$75,BT$9,FALSE)-AB44)</f>
        <v>-</v>
      </c>
      <c r="BU44" s="91" t="str">
        <f>IF(AC44="-","-",VLOOKUP($E44,CTPit!$E$10:$AW$75,BU$9,FALSE)-AC44)</f>
        <v>-</v>
      </c>
      <c r="BV44" s="91" t="str">
        <f>IF(AD44="-","-",VLOOKUP($E44,CTPit!$E$10:$AW$75,BV$9,FALSE)-AD44)</f>
        <v>-</v>
      </c>
      <c r="BW44" s="91" t="str">
        <f>IF(AE44="-","-",VLOOKUP($E44,CTPit!$E$10:$AW$75,BW$9,FALSE)-AE44)</f>
        <v>-</v>
      </c>
      <c r="BX44" s="91" t="str">
        <f>IF(AF44="-","-",VLOOKUP($E44,CTPit!$E$10:$AW$75,BX$9,FALSE)-AF44)</f>
        <v>-</v>
      </c>
      <c r="BY44" s="91" t="str">
        <f>IF(AG44="-","-",VLOOKUP($E44,CTPit!$E$10:$AW$75,BY$9,FALSE)-AG44)</f>
        <v>-</v>
      </c>
      <c r="BZ44" s="91" t="str">
        <f>IF(AH44="-","-",VLOOKUP($E44,CTPit!$E$10:$AW$75,BZ$9,FALSE)-AH44)</f>
        <v>-</v>
      </c>
      <c r="CA44" s="91" t="str">
        <f>IF(AI44="-","-",VLOOKUP($E44,CTPit!$E$10:$AW$75,CA$9,FALSE)-AI44)</f>
        <v>-</v>
      </c>
      <c r="CB44" s="91" t="str">
        <f>IF(AJ44="-","-",VLOOKUP($E44,CTPit!$E$10:$AW$75,CB$9,FALSE)-AJ44)</f>
        <v>-</v>
      </c>
      <c r="CC44" s="91" t="str">
        <f>IF(AK44="-","-",VLOOKUP($E44,CTPit!$E$10:$AW$75,CC$9,FALSE)-AK44)</f>
        <v>-</v>
      </c>
      <c r="CD44" s="91" t="str">
        <f>IF(AL44="-","-",VLOOKUP($E44,CTPit!$E$10:$AW$75,CD$9,FALSE)-AL44)</f>
        <v>-</v>
      </c>
      <c r="CE44" s="91" t="str">
        <f>IF(AM44="-","-",VLOOKUP($E44,CTPit!$E$10:$AW$75,CE$9,FALSE)-AM44)</f>
        <v>-</v>
      </c>
      <c r="CF44" s="91" t="str">
        <f>IF(AN44="-","-",VLOOKUP($E44,CTPit!$E$10:$AW$75,CF$9,FALSE)-AN44)</f>
        <v>-</v>
      </c>
      <c r="CG44" s="91" t="str">
        <f>IF(AO44="-","-",VLOOKUP($E44,CTPit!$E$10:$AW$75,CG$9,FALSE)-AO44)</f>
        <v>-</v>
      </c>
      <c r="CH44" s="91" t="str">
        <f>IF(AP44="-","-",VLOOKUP($E44,CTPit!$E$10:$AW$75,CH$9,FALSE)-AP44)</f>
        <v>-</v>
      </c>
      <c r="CI44" s="91" t="str">
        <f>IF(AQ44="-","-",VLOOKUP($E44,CTPit!$E$10:$AW$75,CI$9,FALSE)-AQ44)</f>
        <v>-</v>
      </c>
      <c r="CJ44" s="91" t="str">
        <f>IF(AR44="-","-",VLOOKUP($E44,CTPit!$E$10:$AW$75,CJ$9,FALSE)-AR44)</f>
        <v>-</v>
      </c>
      <c r="CK44">
        <f t="shared" si="26"/>
        <v>0</v>
      </c>
    </row>
    <row r="45" spans="3:89">
      <c r="C45" t="str">
        <f t="shared" si="16"/>
        <v>K</v>
      </c>
      <c r="D45" t="s">
        <v>110</v>
      </c>
      <c r="E45" t="s">
        <v>206</v>
      </c>
      <c r="F45" t="s">
        <v>25</v>
      </c>
      <c r="G45" t="s">
        <v>212</v>
      </c>
      <c r="H45">
        <v>30</v>
      </c>
      <c r="I45" t="s">
        <v>107</v>
      </c>
      <c r="J45" s="220" t="s">
        <v>107</v>
      </c>
      <c r="K45" t="s">
        <v>42</v>
      </c>
      <c r="L45" t="s">
        <v>42</v>
      </c>
      <c r="M45" t="s">
        <v>231</v>
      </c>
      <c r="N45" s="220" t="s">
        <v>231</v>
      </c>
      <c r="O45">
        <v>6</v>
      </c>
      <c r="P45">
        <v>6</v>
      </c>
      <c r="Q45" s="220">
        <v>4</v>
      </c>
      <c r="R45">
        <v>6</v>
      </c>
      <c r="S45">
        <v>6</v>
      </c>
      <c r="T45" s="220">
        <v>4</v>
      </c>
      <c r="U45">
        <v>6</v>
      </c>
      <c r="V45">
        <v>6</v>
      </c>
      <c r="W45">
        <v>8</v>
      </c>
      <c r="X45">
        <v>8</v>
      </c>
      <c r="Y45" t="s">
        <v>41</v>
      </c>
      <c r="Z45" t="s">
        <v>41</v>
      </c>
      <c r="AA45">
        <v>3</v>
      </c>
      <c r="AB45">
        <v>3</v>
      </c>
      <c r="AC45">
        <v>6</v>
      </c>
      <c r="AD45">
        <v>6</v>
      </c>
      <c r="AE45" t="s">
        <v>41</v>
      </c>
      <c r="AF45" t="s">
        <v>41</v>
      </c>
      <c r="AG45" t="s">
        <v>41</v>
      </c>
      <c r="AH45" t="s">
        <v>41</v>
      </c>
      <c r="AI45" t="s">
        <v>41</v>
      </c>
      <c r="AJ45" t="s">
        <v>41</v>
      </c>
      <c r="AK45" t="s">
        <v>41</v>
      </c>
      <c r="AL45" t="s">
        <v>41</v>
      </c>
      <c r="AM45" t="s">
        <v>41</v>
      </c>
      <c r="AN45" t="s">
        <v>41</v>
      </c>
      <c r="AO45" t="s">
        <v>41</v>
      </c>
      <c r="AP45" t="s">
        <v>41</v>
      </c>
      <c r="AQ45" t="s">
        <v>41</v>
      </c>
      <c r="AR45" s="220" t="s">
        <v>41</v>
      </c>
      <c r="AS45" t="s">
        <v>1</v>
      </c>
      <c r="AT45">
        <v>7</v>
      </c>
      <c r="AU45" s="11">
        <v>0.46</v>
      </c>
      <c r="AV45" s="85">
        <v>2900000</v>
      </c>
      <c r="AW45" s="220" t="s">
        <v>46</v>
      </c>
      <c r="AX45" s="6">
        <f t="shared" si="17"/>
        <v>5.833333333333333</v>
      </c>
      <c r="AY45" s="9" t="str">
        <f t="shared" si="18"/>
        <v>Reg</v>
      </c>
      <c r="AZ45" s="9">
        <f t="shared" si="19"/>
        <v>5.833333333333333</v>
      </c>
      <c r="BA45" s="9" t="str">
        <f t="shared" si="20"/>
        <v>Reg</v>
      </c>
      <c r="BB45" s="9">
        <f t="shared" si="21"/>
        <v>5.833333333333333</v>
      </c>
      <c r="BC45" s="9" t="str">
        <f t="shared" si="22"/>
        <v>Reg</v>
      </c>
      <c r="BD45" s="84">
        <f t="shared" si="23"/>
        <v>4</v>
      </c>
      <c r="BE45" s="83">
        <f t="shared" si="24"/>
        <v>3</v>
      </c>
      <c r="BF45" t="str">
        <f t="shared" si="25"/>
        <v/>
      </c>
      <c r="BG45" s="91" t="e">
        <f>IF(O45="-","-",VLOOKUP($E45,CTPit!$E$10:$AW$75,BG$9,FALSE)-O45)</f>
        <v>#N/A</v>
      </c>
      <c r="BH45" s="91" t="e">
        <f>IF(P45="-","-",VLOOKUP($E45,CTPit!$E$10:$AW$75,BH$9,FALSE)-P45)</f>
        <v>#N/A</v>
      </c>
      <c r="BI45" s="91" t="e">
        <f>IF(Q45="-","-",VLOOKUP($E45,CTPit!$E$10:$AW$75,BI$9,FALSE)-Q45)</f>
        <v>#N/A</v>
      </c>
      <c r="BJ45" s="91" t="e">
        <f>IF(R45="-","-",VLOOKUP($E45,CTPit!$E$10:$AW$75,BJ$9,FALSE)-R45)</f>
        <v>#N/A</v>
      </c>
      <c r="BK45" s="91" t="e">
        <f>IF(S45="-","-",VLOOKUP($E45,CTPit!$E$10:$AW$75,BK$9,FALSE)-S45)</f>
        <v>#N/A</v>
      </c>
      <c r="BL45" s="91" t="e">
        <f>IF(T45="-","-",VLOOKUP($E45,CTPit!$E$10:$AW$75,BL$9,FALSE)-T45)</f>
        <v>#N/A</v>
      </c>
      <c r="BM45" s="91" t="e">
        <f>IF(U45="-","-",VLOOKUP($E45,CTPit!$E$10:$AW$75,BM$9,FALSE)-U45)</f>
        <v>#N/A</v>
      </c>
      <c r="BN45" s="91" t="e">
        <f>IF(V45="-","-",VLOOKUP($E45,CTPit!$E$10:$AW$75,BN$9,FALSE)-V45)</f>
        <v>#N/A</v>
      </c>
      <c r="BO45" s="91" t="e">
        <f>IF(W45="-","-",VLOOKUP($E45,CTPit!$E$10:$AW$75,BO$9,FALSE)-W45)</f>
        <v>#N/A</v>
      </c>
      <c r="BP45" s="91" t="e">
        <f>IF(X45="-","-",VLOOKUP($E45,CTPit!$E$10:$AW$75,BP$9,FALSE)-X45)</f>
        <v>#N/A</v>
      </c>
      <c r="BQ45" s="91" t="str">
        <f>IF(Y45="-","-",VLOOKUP($E45,CTPit!$E$10:$AW$75,BQ$9,FALSE)-Y45)</f>
        <v>-</v>
      </c>
      <c r="BR45" s="91" t="str">
        <f>IF(Z45="-","-",VLOOKUP($E45,CTPit!$E$10:$AW$75,BR$9,FALSE)-Z45)</f>
        <v>-</v>
      </c>
      <c r="BS45" s="91" t="e">
        <f>IF(AA45="-","-",VLOOKUP($E45,CTPit!$E$10:$AW$75,BS$9,FALSE)-AA45)</f>
        <v>#N/A</v>
      </c>
      <c r="BT45" s="91" t="e">
        <f>IF(AB45="-","-",VLOOKUP($E45,CTPit!$E$10:$AW$75,BT$9,FALSE)-AB45)</f>
        <v>#N/A</v>
      </c>
      <c r="BU45" s="91" t="e">
        <f>IF(AC45="-","-",VLOOKUP($E45,CTPit!$E$10:$AW$75,BU$9,FALSE)-AC45)</f>
        <v>#N/A</v>
      </c>
      <c r="BV45" s="91" t="e">
        <f>IF(AD45="-","-",VLOOKUP($E45,CTPit!$E$10:$AW$75,BV$9,FALSE)-AD45)</f>
        <v>#N/A</v>
      </c>
      <c r="BW45" s="91" t="str">
        <f>IF(AE45="-","-",VLOOKUP($E45,CTPit!$E$10:$AW$75,BW$9,FALSE)-AE45)</f>
        <v>-</v>
      </c>
      <c r="BX45" s="91" t="str">
        <f>IF(AF45="-","-",VLOOKUP($E45,CTPit!$E$10:$AW$75,BX$9,FALSE)-AF45)</f>
        <v>-</v>
      </c>
      <c r="BY45" s="91" t="str">
        <f>IF(AG45="-","-",VLOOKUP($E45,CTPit!$E$10:$AW$75,BY$9,FALSE)-AG45)</f>
        <v>-</v>
      </c>
      <c r="BZ45" s="91" t="str">
        <f>IF(AH45="-","-",VLOOKUP($E45,CTPit!$E$10:$AW$75,BZ$9,FALSE)-AH45)</f>
        <v>-</v>
      </c>
      <c r="CA45" s="91" t="str">
        <f>IF(AI45="-","-",VLOOKUP($E45,CTPit!$E$10:$AW$75,CA$9,FALSE)-AI45)</f>
        <v>-</v>
      </c>
      <c r="CB45" s="91" t="str">
        <f>IF(AJ45="-","-",VLOOKUP($E45,CTPit!$E$10:$AW$75,CB$9,FALSE)-AJ45)</f>
        <v>-</v>
      </c>
      <c r="CC45" s="91" t="str">
        <f>IF(AK45="-","-",VLOOKUP($E45,CTPit!$E$10:$AW$75,CC$9,FALSE)-AK45)</f>
        <v>-</v>
      </c>
      <c r="CD45" s="91" t="str">
        <f>IF(AL45="-","-",VLOOKUP($E45,CTPit!$E$10:$AW$75,CD$9,FALSE)-AL45)</f>
        <v>-</v>
      </c>
      <c r="CE45" s="91" t="str">
        <f>IF(AM45="-","-",VLOOKUP($E45,CTPit!$E$10:$AW$75,CE$9,FALSE)-AM45)</f>
        <v>-</v>
      </c>
      <c r="CF45" s="91" t="str">
        <f>IF(AN45="-","-",VLOOKUP($E45,CTPit!$E$10:$AW$75,CF$9,FALSE)-AN45)</f>
        <v>-</v>
      </c>
      <c r="CG45" s="91" t="str">
        <f>IF(AO45="-","-",VLOOKUP($E45,CTPit!$E$10:$AW$75,CG$9,FALSE)-AO45)</f>
        <v>-</v>
      </c>
      <c r="CH45" s="91" t="str">
        <f>IF(AP45="-","-",VLOOKUP($E45,CTPit!$E$10:$AW$75,CH$9,FALSE)-AP45)</f>
        <v>-</v>
      </c>
      <c r="CI45" s="91" t="str">
        <f>IF(AQ45="-","-",VLOOKUP($E45,CTPit!$E$10:$AW$75,CI$9,FALSE)-AQ45)</f>
        <v>-</v>
      </c>
      <c r="CJ45" s="91" t="str">
        <f>IF(AR45="-","-",VLOOKUP($E45,CTPit!$E$10:$AW$75,CJ$9,FALSE)-AR45)</f>
        <v>-</v>
      </c>
      <c r="CK45" t="e">
        <f t="shared" si="26"/>
        <v>#N/A</v>
      </c>
    </row>
    <row r="46" spans="3:89">
      <c r="C46" t="str">
        <f t="shared" si="16"/>
        <v>K</v>
      </c>
      <c r="D46" t="s">
        <v>111</v>
      </c>
      <c r="E46" t="s">
        <v>13</v>
      </c>
      <c r="F46" t="s">
        <v>384</v>
      </c>
      <c r="G46" t="s">
        <v>213</v>
      </c>
      <c r="H46">
        <v>25</v>
      </c>
      <c r="I46" t="s">
        <v>107</v>
      </c>
      <c r="J46" s="220" t="s">
        <v>107</v>
      </c>
      <c r="K46" t="s">
        <v>42</v>
      </c>
      <c r="L46" t="s">
        <v>42</v>
      </c>
      <c r="M46" t="s">
        <v>229</v>
      </c>
      <c r="N46" s="220" t="s">
        <v>229</v>
      </c>
      <c r="O46">
        <v>4</v>
      </c>
      <c r="P46">
        <v>7</v>
      </c>
      <c r="Q46" s="220">
        <v>5</v>
      </c>
      <c r="R46">
        <v>4</v>
      </c>
      <c r="S46">
        <v>7</v>
      </c>
      <c r="T46" s="220">
        <v>5</v>
      </c>
      <c r="U46">
        <v>6</v>
      </c>
      <c r="V46">
        <v>6</v>
      </c>
      <c r="W46">
        <v>4</v>
      </c>
      <c r="X46">
        <v>4</v>
      </c>
      <c r="Y46">
        <v>4</v>
      </c>
      <c r="Z46">
        <v>4</v>
      </c>
      <c r="AA46" t="s">
        <v>41</v>
      </c>
      <c r="AB46" t="s">
        <v>41</v>
      </c>
      <c r="AC46" t="s">
        <v>41</v>
      </c>
      <c r="AD46" t="s">
        <v>41</v>
      </c>
      <c r="AE46" t="s">
        <v>41</v>
      </c>
      <c r="AF46" t="s">
        <v>41</v>
      </c>
      <c r="AG46" t="s">
        <v>41</v>
      </c>
      <c r="AH46" t="s">
        <v>41</v>
      </c>
      <c r="AI46" t="s">
        <v>41</v>
      </c>
      <c r="AJ46" t="s">
        <v>41</v>
      </c>
      <c r="AK46" t="s">
        <v>41</v>
      </c>
      <c r="AL46" t="s">
        <v>41</v>
      </c>
      <c r="AM46" t="s">
        <v>41</v>
      </c>
      <c r="AN46" t="s">
        <v>41</v>
      </c>
      <c r="AO46" t="s">
        <v>41</v>
      </c>
      <c r="AP46" t="s">
        <v>41</v>
      </c>
      <c r="AQ46" t="s">
        <v>41</v>
      </c>
      <c r="AR46" s="220" t="s">
        <v>41</v>
      </c>
      <c r="AS46" t="s">
        <v>5</v>
      </c>
      <c r="AT46">
        <v>4</v>
      </c>
      <c r="AU46" s="11">
        <v>0.62</v>
      </c>
      <c r="AV46" s="85" t="s">
        <v>41</v>
      </c>
      <c r="AW46" s="220">
        <v>0</v>
      </c>
      <c r="AX46" s="6">
        <f t="shared" si="17"/>
        <v>5.833333333333333</v>
      </c>
      <c r="AY46" s="9" t="str">
        <f t="shared" si="18"/>
        <v>Reg</v>
      </c>
      <c r="AZ46" s="9">
        <f t="shared" si="19"/>
        <v>5.833333333333333</v>
      </c>
      <c r="BA46" s="9" t="str">
        <f t="shared" si="20"/>
        <v>Reg</v>
      </c>
      <c r="BB46" s="9">
        <f t="shared" si="21"/>
        <v>5.833333333333333</v>
      </c>
      <c r="BC46" s="9" t="str">
        <f t="shared" si="22"/>
        <v>Reg</v>
      </c>
      <c r="BD46" s="84">
        <f t="shared" si="23"/>
        <v>3</v>
      </c>
      <c r="BE46" s="83">
        <f t="shared" si="24"/>
        <v>1</v>
      </c>
      <c r="BF46" t="str">
        <f t="shared" si="25"/>
        <v/>
      </c>
      <c r="BG46" s="91">
        <f>IF(O46="-","-",VLOOKUP($E46,CTPit!$E$10:$AW$75,BG$9,FALSE)-O46)</f>
        <v>0</v>
      </c>
      <c r="BH46" s="91">
        <f>IF(P46="-","-",VLOOKUP($E46,CTPit!$E$10:$AW$75,BH$9,FALSE)-P46)</f>
        <v>0</v>
      </c>
      <c r="BI46" s="91">
        <f>IF(Q46="-","-",VLOOKUP($E46,CTPit!$E$10:$AW$75,BI$9,FALSE)-Q46)</f>
        <v>0</v>
      </c>
      <c r="BJ46" s="91">
        <f>IF(R46="-","-",VLOOKUP($E46,CTPit!$E$10:$AW$75,BJ$9,FALSE)-R46)</f>
        <v>0</v>
      </c>
      <c r="BK46" s="91">
        <f>IF(S46="-","-",VLOOKUP($E46,CTPit!$E$10:$AW$75,BK$9,FALSE)-S46)</f>
        <v>0</v>
      </c>
      <c r="BL46" s="91">
        <f>IF(T46="-","-",VLOOKUP($E46,CTPit!$E$10:$AW$75,BL$9,FALSE)-T46)</f>
        <v>0</v>
      </c>
      <c r="BM46" s="91">
        <f>IF(U46="-","-",VLOOKUP($E46,CTPit!$E$10:$AW$75,BM$9,FALSE)-U46)</f>
        <v>0</v>
      </c>
      <c r="BN46" s="91">
        <f>IF(V46="-","-",VLOOKUP($E46,CTPit!$E$10:$AW$75,BN$9,FALSE)-V46)</f>
        <v>0</v>
      </c>
      <c r="BO46" s="91">
        <f>IF(W46="-","-",VLOOKUP($E46,CTPit!$E$10:$AW$75,BO$9,FALSE)-W46)</f>
        <v>0</v>
      </c>
      <c r="BP46" s="91">
        <f>IF(X46="-","-",VLOOKUP($E46,CTPit!$E$10:$AW$75,BP$9,FALSE)-X46)</f>
        <v>0</v>
      </c>
      <c r="BQ46" s="91">
        <f>IF(Y46="-","-",VLOOKUP($E46,CTPit!$E$10:$AW$75,BQ$9,FALSE)-Y46)</f>
        <v>0</v>
      </c>
      <c r="BR46" s="91">
        <f>IF(Z46="-","-",VLOOKUP($E46,CTPit!$E$10:$AW$75,BR$9,FALSE)-Z46)</f>
        <v>0</v>
      </c>
      <c r="BS46" s="91" t="str">
        <f>IF(AA46="-","-",VLOOKUP($E46,CTPit!$E$10:$AW$75,BS$9,FALSE)-AA46)</f>
        <v>-</v>
      </c>
      <c r="BT46" s="91" t="str">
        <f>IF(AB46="-","-",VLOOKUP($E46,CTPit!$E$10:$AW$75,BT$9,FALSE)-AB46)</f>
        <v>-</v>
      </c>
      <c r="BU46" s="91" t="str">
        <f>IF(AC46="-","-",VLOOKUP($E46,CTPit!$E$10:$AW$75,BU$9,FALSE)-AC46)</f>
        <v>-</v>
      </c>
      <c r="BV46" s="91" t="str">
        <f>IF(AD46="-","-",VLOOKUP($E46,CTPit!$E$10:$AW$75,BV$9,FALSE)-AD46)</f>
        <v>-</v>
      </c>
      <c r="BW46" s="91" t="str">
        <f>IF(AE46="-","-",VLOOKUP($E46,CTPit!$E$10:$AW$75,BW$9,FALSE)-AE46)</f>
        <v>-</v>
      </c>
      <c r="BX46" s="91" t="str">
        <f>IF(AF46="-","-",VLOOKUP($E46,CTPit!$E$10:$AW$75,BX$9,FALSE)-AF46)</f>
        <v>-</v>
      </c>
      <c r="BY46" s="91" t="str">
        <f>IF(AG46="-","-",VLOOKUP($E46,CTPit!$E$10:$AW$75,BY$9,FALSE)-AG46)</f>
        <v>-</v>
      </c>
      <c r="BZ46" s="91" t="str">
        <f>IF(AH46="-","-",VLOOKUP($E46,CTPit!$E$10:$AW$75,BZ$9,FALSE)-AH46)</f>
        <v>-</v>
      </c>
      <c r="CA46" s="91" t="str">
        <f>IF(AI46="-","-",VLOOKUP($E46,CTPit!$E$10:$AW$75,CA$9,FALSE)-AI46)</f>
        <v>-</v>
      </c>
      <c r="CB46" s="91" t="str">
        <f>IF(AJ46="-","-",VLOOKUP($E46,CTPit!$E$10:$AW$75,CB$9,FALSE)-AJ46)</f>
        <v>-</v>
      </c>
      <c r="CC46" s="91" t="str">
        <f>IF(AK46="-","-",VLOOKUP($E46,CTPit!$E$10:$AW$75,CC$9,FALSE)-AK46)</f>
        <v>-</v>
      </c>
      <c r="CD46" s="91" t="str">
        <f>IF(AL46="-","-",VLOOKUP($E46,CTPit!$E$10:$AW$75,CD$9,FALSE)-AL46)</f>
        <v>-</v>
      </c>
      <c r="CE46" s="91" t="str">
        <f>IF(AM46="-","-",VLOOKUP($E46,CTPit!$E$10:$AW$75,CE$9,FALSE)-AM46)</f>
        <v>-</v>
      </c>
      <c r="CF46" s="91" t="str">
        <f>IF(AN46="-","-",VLOOKUP($E46,CTPit!$E$10:$AW$75,CF$9,FALSE)-AN46)</f>
        <v>-</v>
      </c>
      <c r="CG46" s="91" t="str">
        <f>IF(AO46="-","-",VLOOKUP($E46,CTPit!$E$10:$AW$75,CG$9,FALSE)-AO46)</f>
        <v>-</v>
      </c>
      <c r="CH46" s="91" t="str">
        <f>IF(AP46="-","-",VLOOKUP($E46,CTPit!$E$10:$AW$75,CH$9,FALSE)-AP46)</f>
        <v>-</v>
      </c>
      <c r="CI46" s="91" t="str">
        <f>IF(AQ46="-","-",VLOOKUP($E46,CTPit!$E$10:$AW$75,CI$9,FALSE)-AQ46)</f>
        <v>-</v>
      </c>
      <c r="CJ46" s="91" t="str">
        <f>IF(AR46="-","-",VLOOKUP($E46,CTPit!$E$10:$AW$75,CJ$9,FALSE)-AR46)</f>
        <v>-</v>
      </c>
      <c r="CK46">
        <f t="shared" si="26"/>
        <v>0</v>
      </c>
    </row>
    <row r="47" spans="3:89">
      <c r="C47" t="str">
        <f t="shared" si="16"/>
        <v>K</v>
      </c>
      <c r="D47" t="s">
        <v>110</v>
      </c>
      <c r="E47" t="s">
        <v>320</v>
      </c>
      <c r="F47" t="s">
        <v>384</v>
      </c>
      <c r="G47" t="s">
        <v>213</v>
      </c>
      <c r="H47">
        <v>27</v>
      </c>
      <c r="I47" t="s">
        <v>107</v>
      </c>
      <c r="J47" s="220" t="s">
        <v>107</v>
      </c>
      <c r="K47" t="s">
        <v>42</v>
      </c>
      <c r="L47" t="s">
        <v>42</v>
      </c>
      <c r="M47" t="s">
        <v>229</v>
      </c>
      <c r="N47" s="220" t="s">
        <v>228</v>
      </c>
      <c r="O47">
        <v>4</v>
      </c>
      <c r="P47">
        <v>7</v>
      </c>
      <c r="Q47" s="220">
        <v>5</v>
      </c>
      <c r="R47">
        <v>4</v>
      </c>
      <c r="S47">
        <v>7</v>
      </c>
      <c r="T47" s="220">
        <v>5</v>
      </c>
      <c r="U47">
        <v>4</v>
      </c>
      <c r="V47">
        <v>4</v>
      </c>
      <c r="W47">
        <v>5</v>
      </c>
      <c r="X47">
        <v>5</v>
      </c>
      <c r="Y47">
        <v>3</v>
      </c>
      <c r="Z47">
        <v>3</v>
      </c>
      <c r="AA47" t="s">
        <v>41</v>
      </c>
      <c r="AB47" t="s">
        <v>41</v>
      </c>
      <c r="AC47" t="s">
        <v>41</v>
      </c>
      <c r="AD47" t="s">
        <v>41</v>
      </c>
      <c r="AE47" t="s">
        <v>41</v>
      </c>
      <c r="AF47" t="s">
        <v>41</v>
      </c>
      <c r="AG47">
        <v>5</v>
      </c>
      <c r="AH47">
        <v>5</v>
      </c>
      <c r="AI47" t="s">
        <v>41</v>
      </c>
      <c r="AJ47" t="s">
        <v>41</v>
      </c>
      <c r="AK47" t="s">
        <v>41</v>
      </c>
      <c r="AL47" t="s">
        <v>41</v>
      </c>
      <c r="AM47" t="s">
        <v>41</v>
      </c>
      <c r="AN47" t="s">
        <v>41</v>
      </c>
      <c r="AO47">
        <v>2</v>
      </c>
      <c r="AP47">
        <v>2</v>
      </c>
      <c r="AQ47" t="s">
        <v>41</v>
      </c>
      <c r="AR47" s="220" t="s">
        <v>41</v>
      </c>
      <c r="AS47" t="s">
        <v>2</v>
      </c>
      <c r="AT47">
        <v>2</v>
      </c>
      <c r="AU47" s="11">
        <v>0.48</v>
      </c>
      <c r="AV47" s="85" t="s">
        <v>41</v>
      </c>
      <c r="AW47" s="220">
        <v>0</v>
      </c>
      <c r="AX47" s="6">
        <f t="shared" si="17"/>
        <v>5.833333333333333</v>
      </c>
      <c r="AY47" s="9" t="str">
        <f t="shared" si="18"/>
        <v>Reg</v>
      </c>
      <c r="AZ47" s="9">
        <f t="shared" si="19"/>
        <v>5.833333333333333</v>
      </c>
      <c r="BA47" s="9" t="str">
        <f t="shared" si="20"/>
        <v>Reg</v>
      </c>
      <c r="BB47" s="9">
        <f t="shared" si="21"/>
        <v>5.833333333333333</v>
      </c>
      <c r="BC47" s="9" t="str">
        <f t="shared" si="22"/>
        <v>Reg</v>
      </c>
      <c r="BD47" s="84">
        <f t="shared" si="23"/>
        <v>5</v>
      </c>
      <c r="BE47" s="83">
        <f t="shared" si="24"/>
        <v>0</v>
      </c>
      <c r="BF47" t="str">
        <f t="shared" si="25"/>
        <v/>
      </c>
      <c r="BG47" s="91">
        <f>IF(O47="-","-",VLOOKUP($E47,CTPit!$E$10:$AW$75,BG$9,FALSE)-O47)</f>
        <v>0</v>
      </c>
      <c r="BH47" s="91">
        <f>IF(P47="-","-",VLOOKUP($E47,CTPit!$E$10:$AW$75,BH$9,FALSE)-P47)</f>
        <v>0</v>
      </c>
      <c r="BI47" s="91">
        <f>IF(Q47="-","-",VLOOKUP($E47,CTPit!$E$10:$AW$75,BI$9,FALSE)-Q47)</f>
        <v>0</v>
      </c>
      <c r="BJ47" s="91">
        <f>IF(R47="-","-",VLOOKUP($E47,CTPit!$E$10:$AW$75,BJ$9,FALSE)-R47)</f>
        <v>0</v>
      </c>
      <c r="BK47" s="91">
        <f>IF(S47="-","-",VLOOKUP($E47,CTPit!$E$10:$AW$75,BK$9,FALSE)-S47)</f>
        <v>0</v>
      </c>
      <c r="BL47" s="91">
        <f>IF(T47="-","-",VLOOKUP($E47,CTPit!$E$10:$AW$75,BL$9,FALSE)-T47)</f>
        <v>0</v>
      </c>
      <c r="BM47" s="91">
        <f>IF(U47="-","-",VLOOKUP($E47,CTPit!$E$10:$AW$75,BM$9,FALSE)-U47)</f>
        <v>0</v>
      </c>
      <c r="BN47" s="91">
        <f>IF(V47="-","-",VLOOKUP($E47,CTPit!$E$10:$AW$75,BN$9,FALSE)-V47)</f>
        <v>0</v>
      </c>
      <c r="BO47" s="91">
        <f>IF(W47="-","-",VLOOKUP($E47,CTPit!$E$10:$AW$75,BO$9,FALSE)-W47)</f>
        <v>0</v>
      </c>
      <c r="BP47" s="91">
        <f>IF(X47="-","-",VLOOKUP($E47,CTPit!$E$10:$AW$75,BP$9,FALSE)-X47)</f>
        <v>0</v>
      </c>
      <c r="BQ47" s="91">
        <f>IF(Y47="-","-",VLOOKUP($E47,CTPit!$E$10:$AW$75,BQ$9,FALSE)-Y47)</f>
        <v>0</v>
      </c>
      <c r="BR47" s="91">
        <f>IF(Z47="-","-",VLOOKUP($E47,CTPit!$E$10:$AW$75,BR$9,FALSE)-Z47)</f>
        <v>0</v>
      </c>
      <c r="BS47" s="91" t="str">
        <f>IF(AA47="-","-",VLOOKUP($E47,CTPit!$E$10:$AW$75,BS$9,FALSE)-AA47)</f>
        <v>-</v>
      </c>
      <c r="BT47" s="91" t="str">
        <f>IF(AB47="-","-",VLOOKUP($E47,CTPit!$E$10:$AW$75,BT$9,FALSE)-AB47)</f>
        <v>-</v>
      </c>
      <c r="BU47" s="91" t="str">
        <f>IF(AC47="-","-",VLOOKUP($E47,CTPit!$E$10:$AW$75,BU$9,FALSE)-AC47)</f>
        <v>-</v>
      </c>
      <c r="BV47" s="91" t="str">
        <f>IF(AD47="-","-",VLOOKUP($E47,CTPit!$E$10:$AW$75,BV$9,FALSE)-AD47)</f>
        <v>-</v>
      </c>
      <c r="BW47" s="91" t="str">
        <f>IF(AE47="-","-",VLOOKUP($E47,CTPit!$E$10:$AW$75,BW$9,FALSE)-AE47)</f>
        <v>-</v>
      </c>
      <c r="BX47" s="91" t="str">
        <f>IF(AF47="-","-",VLOOKUP($E47,CTPit!$E$10:$AW$75,BX$9,FALSE)-AF47)</f>
        <v>-</v>
      </c>
      <c r="BY47" s="91">
        <f>IF(AG47="-","-",VLOOKUP($E47,CTPit!$E$10:$AW$75,BY$9,FALSE)-AG47)</f>
        <v>0</v>
      </c>
      <c r="BZ47" s="91">
        <f>IF(AH47="-","-",VLOOKUP($E47,CTPit!$E$10:$AW$75,BZ$9,FALSE)-AH47)</f>
        <v>0</v>
      </c>
      <c r="CA47" s="91" t="str">
        <f>IF(AI47="-","-",VLOOKUP($E47,CTPit!$E$10:$AW$75,CA$9,FALSE)-AI47)</f>
        <v>-</v>
      </c>
      <c r="CB47" s="91" t="str">
        <f>IF(AJ47="-","-",VLOOKUP($E47,CTPit!$E$10:$AW$75,CB$9,FALSE)-AJ47)</f>
        <v>-</v>
      </c>
      <c r="CC47" s="91" t="str">
        <f>IF(AK47="-","-",VLOOKUP($E47,CTPit!$E$10:$AW$75,CC$9,FALSE)-AK47)</f>
        <v>-</v>
      </c>
      <c r="CD47" s="91" t="str">
        <f>IF(AL47="-","-",VLOOKUP($E47,CTPit!$E$10:$AW$75,CD$9,FALSE)-AL47)</f>
        <v>-</v>
      </c>
      <c r="CE47" s="91" t="str">
        <f>IF(AM47="-","-",VLOOKUP($E47,CTPit!$E$10:$AW$75,CE$9,FALSE)-AM47)</f>
        <v>-</v>
      </c>
      <c r="CF47" s="91" t="str">
        <f>IF(AN47="-","-",VLOOKUP($E47,CTPit!$E$10:$AW$75,CF$9,FALSE)-AN47)</f>
        <v>-</v>
      </c>
      <c r="CG47" s="91">
        <f>IF(AO47="-","-",VLOOKUP($E47,CTPit!$E$10:$AW$75,CG$9,FALSE)-AO47)</f>
        <v>0</v>
      </c>
      <c r="CH47" s="91">
        <f>IF(AP47="-","-",VLOOKUP($E47,CTPit!$E$10:$AW$75,CH$9,FALSE)-AP47)</f>
        <v>0</v>
      </c>
      <c r="CI47" s="91" t="str">
        <f>IF(AQ47="-","-",VLOOKUP($E47,CTPit!$E$10:$AW$75,CI$9,FALSE)-AQ47)</f>
        <v>-</v>
      </c>
      <c r="CJ47" s="91" t="str">
        <f>IF(AR47="-","-",VLOOKUP($E47,CTPit!$E$10:$AW$75,CJ$9,FALSE)-AR47)</f>
        <v>-</v>
      </c>
      <c r="CK47">
        <f t="shared" si="26"/>
        <v>0</v>
      </c>
    </row>
    <row r="48" spans="3:89">
      <c r="C48" t="str">
        <f t="shared" si="16"/>
        <v>K</v>
      </c>
      <c r="D48" t="s">
        <v>110</v>
      </c>
      <c r="E48" t="s">
        <v>509</v>
      </c>
      <c r="F48" t="s">
        <v>384</v>
      </c>
      <c r="G48" t="s">
        <v>213</v>
      </c>
      <c r="H48">
        <v>32</v>
      </c>
      <c r="I48" t="s">
        <v>106</v>
      </c>
      <c r="J48" s="220" t="s">
        <v>106</v>
      </c>
      <c r="K48" t="s">
        <v>42</v>
      </c>
      <c r="L48" t="s">
        <v>42</v>
      </c>
      <c r="M48" t="s">
        <v>231</v>
      </c>
      <c r="N48" s="220" t="s">
        <v>230</v>
      </c>
      <c r="O48">
        <v>4</v>
      </c>
      <c r="P48">
        <v>6</v>
      </c>
      <c r="Q48" s="220">
        <v>7</v>
      </c>
      <c r="R48">
        <v>4</v>
      </c>
      <c r="S48">
        <v>6</v>
      </c>
      <c r="T48" s="220">
        <v>7</v>
      </c>
      <c r="U48">
        <v>4</v>
      </c>
      <c r="V48">
        <v>4</v>
      </c>
      <c r="W48" t="s">
        <v>41</v>
      </c>
      <c r="X48" t="s">
        <v>41</v>
      </c>
      <c r="Y48" t="s">
        <v>41</v>
      </c>
      <c r="Z48" t="s">
        <v>41</v>
      </c>
      <c r="AA48">
        <v>4</v>
      </c>
      <c r="AB48">
        <v>4</v>
      </c>
      <c r="AC48" t="s">
        <v>41</v>
      </c>
      <c r="AD48" t="s">
        <v>41</v>
      </c>
      <c r="AE48" t="s">
        <v>41</v>
      </c>
      <c r="AF48" t="s">
        <v>41</v>
      </c>
      <c r="AG48">
        <v>4</v>
      </c>
      <c r="AH48">
        <v>4</v>
      </c>
      <c r="AI48" t="s">
        <v>41</v>
      </c>
      <c r="AJ48" t="s">
        <v>41</v>
      </c>
      <c r="AK48" t="s">
        <v>41</v>
      </c>
      <c r="AL48" t="s">
        <v>41</v>
      </c>
      <c r="AM48" t="s">
        <v>41</v>
      </c>
      <c r="AN48" t="s">
        <v>41</v>
      </c>
      <c r="AO48" t="s">
        <v>41</v>
      </c>
      <c r="AP48" t="s">
        <v>41</v>
      </c>
      <c r="AQ48" t="s">
        <v>41</v>
      </c>
      <c r="AR48" s="220" t="s">
        <v>41</v>
      </c>
      <c r="AS48" t="s">
        <v>0</v>
      </c>
      <c r="AT48">
        <v>3</v>
      </c>
      <c r="AU48" s="11">
        <v>0.39</v>
      </c>
      <c r="AV48" s="85" t="s">
        <v>41</v>
      </c>
      <c r="AW48" s="220">
        <v>1</v>
      </c>
      <c r="AX48" s="6">
        <f t="shared" si="17"/>
        <v>5.666666666666667</v>
      </c>
      <c r="AY48" s="9" t="str">
        <f t="shared" si="18"/>
        <v>Reg</v>
      </c>
      <c r="AZ48" s="9">
        <f t="shared" si="19"/>
        <v>5.666666666666667</v>
      </c>
      <c r="BA48" s="9" t="str">
        <f t="shared" si="20"/>
        <v>Reg</v>
      </c>
      <c r="BB48" s="9">
        <f t="shared" si="21"/>
        <v>5.666666666666667</v>
      </c>
      <c r="BC48" s="9" t="str">
        <f t="shared" si="22"/>
        <v>Reg</v>
      </c>
      <c r="BD48" s="84">
        <f t="shared" si="23"/>
        <v>3</v>
      </c>
      <c r="BE48" s="83">
        <f t="shared" si="24"/>
        <v>0</v>
      </c>
      <c r="BF48" t="str">
        <f t="shared" si="25"/>
        <v>Yes</v>
      </c>
      <c r="BG48" s="91">
        <f>IF(O48="-","-",VLOOKUP($E48,CTPit!$E$10:$AW$75,BG$9,FALSE)-O48)</f>
        <v>0</v>
      </c>
      <c r="BH48" s="91">
        <f>IF(P48="-","-",VLOOKUP($E48,CTPit!$E$10:$AW$75,BH$9,FALSE)-P48)</f>
        <v>0</v>
      </c>
      <c r="BI48" s="91">
        <f>IF(Q48="-","-",VLOOKUP($E48,CTPit!$E$10:$AW$75,BI$9,FALSE)-Q48)</f>
        <v>0</v>
      </c>
      <c r="BJ48" s="91">
        <f>IF(R48="-","-",VLOOKUP($E48,CTPit!$E$10:$AW$75,BJ$9,FALSE)-R48)</f>
        <v>0</v>
      </c>
      <c r="BK48" s="91">
        <f>IF(S48="-","-",VLOOKUP($E48,CTPit!$E$10:$AW$75,BK$9,FALSE)-S48)</f>
        <v>0</v>
      </c>
      <c r="BL48" s="91">
        <f>IF(T48="-","-",VLOOKUP($E48,CTPit!$E$10:$AW$75,BL$9,FALSE)-T48)</f>
        <v>0</v>
      </c>
      <c r="BM48" s="91">
        <f>IF(U48="-","-",VLOOKUP($E48,CTPit!$E$10:$AW$75,BM$9,FALSE)-U48)</f>
        <v>0</v>
      </c>
      <c r="BN48" s="91">
        <f>IF(V48="-","-",VLOOKUP($E48,CTPit!$E$10:$AW$75,BN$9,FALSE)-V48)</f>
        <v>0</v>
      </c>
      <c r="BO48" s="91" t="str">
        <f>IF(W48="-","-",VLOOKUP($E48,CTPit!$E$10:$AW$75,BO$9,FALSE)-W48)</f>
        <v>-</v>
      </c>
      <c r="BP48" s="91" t="str">
        <f>IF(X48="-","-",VLOOKUP($E48,CTPit!$E$10:$AW$75,BP$9,FALSE)-X48)</f>
        <v>-</v>
      </c>
      <c r="BQ48" s="91" t="str">
        <f>IF(Y48="-","-",VLOOKUP($E48,CTPit!$E$10:$AW$75,BQ$9,FALSE)-Y48)</f>
        <v>-</v>
      </c>
      <c r="BR48" s="91" t="str">
        <f>IF(Z48="-","-",VLOOKUP($E48,CTPit!$E$10:$AW$75,BR$9,FALSE)-Z48)</f>
        <v>-</v>
      </c>
      <c r="BS48" s="91">
        <f>IF(AA48="-","-",VLOOKUP($E48,CTPit!$E$10:$AW$75,BS$9,FALSE)-AA48)</f>
        <v>0</v>
      </c>
      <c r="BT48" s="91">
        <f>IF(AB48="-","-",VLOOKUP($E48,CTPit!$E$10:$AW$75,BT$9,FALSE)-AB48)</f>
        <v>0</v>
      </c>
      <c r="BU48" s="91" t="str">
        <f>IF(AC48="-","-",VLOOKUP($E48,CTPit!$E$10:$AW$75,BU$9,FALSE)-AC48)</f>
        <v>-</v>
      </c>
      <c r="BV48" s="91" t="str">
        <f>IF(AD48="-","-",VLOOKUP($E48,CTPit!$E$10:$AW$75,BV$9,FALSE)-AD48)</f>
        <v>-</v>
      </c>
      <c r="BW48" s="91" t="str">
        <f>IF(AE48="-","-",VLOOKUP($E48,CTPit!$E$10:$AW$75,BW$9,FALSE)-AE48)</f>
        <v>-</v>
      </c>
      <c r="BX48" s="91" t="str">
        <f>IF(AF48="-","-",VLOOKUP($E48,CTPit!$E$10:$AW$75,BX$9,FALSE)-AF48)</f>
        <v>-</v>
      </c>
      <c r="BY48" s="91">
        <f>IF(AG48="-","-",VLOOKUP($E48,CTPit!$E$10:$AW$75,BY$9,FALSE)-AG48)</f>
        <v>0</v>
      </c>
      <c r="BZ48" s="91">
        <f>IF(AH48="-","-",VLOOKUP($E48,CTPit!$E$10:$AW$75,BZ$9,FALSE)-AH48)</f>
        <v>0</v>
      </c>
      <c r="CA48" s="91" t="str">
        <f>IF(AI48="-","-",VLOOKUP($E48,CTPit!$E$10:$AW$75,CA$9,FALSE)-AI48)</f>
        <v>-</v>
      </c>
      <c r="CB48" s="91" t="str">
        <f>IF(AJ48="-","-",VLOOKUP($E48,CTPit!$E$10:$AW$75,CB$9,FALSE)-AJ48)</f>
        <v>-</v>
      </c>
      <c r="CC48" s="91" t="str">
        <f>IF(AK48="-","-",VLOOKUP($E48,CTPit!$E$10:$AW$75,CC$9,FALSE)-AK48)</f>
        <v>-</v>
      </c>
      <c r="CD48" s="91" t="str">
        <f>IF(AL48="-","-",VLOOKUP($E48,CTPit!$E$10:$AW$75,CD$9,FALSE)-AL48)</f>
        <v>-</v>
      </c>
      <c r="CE48" s="91" t="str">
        <f>IF(AM48="-","-",VLOOKUP($E48,CTPit!$E$10:$AW$75,CE$9,FALSE)-AM48)</f>
        <v>-</v>
      </c>
      <c r="CF48" s="91" t="str">
        <f>IF(AN48="-","-",VLOOKUP($E48,CTPit!$E$10:$AW$75,CF$9,FALSE)-AN48)</f>
        <v>-</v>
      </c>
      <c r="CG48" s="91" t="str">
        <f>IF(AO48="-","-",VLOOKUP($E48,CTPit!$E$10:$AW$75,CG$9,FALSE)-AO48)</f>
        <v>-</v>
      </c>
      <c r="CH48" s="91" t="str">
        <f>IF(AP48="-","-",VLOOKUP($E48,CTPit!$E$10:$AW$75,CH$9,FALSE)-AP48)</f>
        <v>-</v>
      </c>
      <c r="CI48" s="91" t="str">
        <f>IF(AQ48="-","-",VLOOKUP($E48,CTPit!$E$10:$AW$75,CI$9,FALSE)-AQ48)</f>
        <v>-</v>
      </c>
      <c r="CJ48" s="91" t="str">
        <f>IF(AR48="-","-",VLOOKUP($E48,CTPit!$E$10:$AW$75,CJ$9,FALSE)-AR48)</f>
        <v>-</v>
      </c>
      <c r="CK48">
        <f t="shared" si="26"/>
        <v>0</v>
      </c>
    </row>
    <row r="49" spans="3:89">
      <c r="C49" t="str">
        <f t="shared" si="16"/>
        <v>K</v>
      </c>
      <c r="D49" t="s">
        <v>110</v>
      </c>
      <c r="E49" t="s">
        <v>553</v>
      </c>
      <c r="F49" t="s">
        <v>384</v>
      </c>
      <c r="G49" t="s">
        <v>213</v>
      </c>
      <c r="H49">
        <v>32</v>
      </c>
      <c r="I49" t="s">
        <v>107</v>
      </c>
      <c r="J49" s="220" t="s">
        <v>107</v>
      </c>
      <c r="K49" t="s">
        <v>42</v>
      </c>
      <c r="L49" t="s">
        <v>42</v>
      </c>
      <c r="M49" t="s">
        <v>231</v>
      </c>
      <c r="N49" s="220" t="s">
        <v>231</v>
      </c>
      <c r="O49">
        <v>8</v>
      </c>
      <c r="P49">
        <v>5</v>
      </c>
      <c r="Q49" s="220">
        <v>3</v>
      </c>
      <c r="R49">
        <v>8</v>
      </c>
      <c r="S49">
        <v>5</v>
      </c>
      <c r="T49" s="220">
        <v>3</v>
      </c>
      <c r="U49">
        <v>7</v>
      </c>
      <c r="V49">
        <v>7</v>
      </c>
      <c r="W49">
        <v>9</v>
      </c>
      <c r="X49">
        <v>9</v>
      </c>
      <c r="Y49" t="s">
        <v>41</v>
      </c>
      <c r="Z49" t="s">
        <v>41</v>
      </c>
      <c r="AA49">
        <v>3</v>
      </c>
      <c r="AB49">
        <v>3</v>
      </c>
      <c r="AC49" t="s">
        <v>41</v>
      </c>
      <c r="AD49" t="s">
        <v>41</v>
      </c>
      <c r="AE49" t="s">
        <v>41</v>
      </c>
      <c r="AF49" t="s">
        <v>41</v>
      </c>
      <c r="AG49" t="s">
        <v>41</v>
      </c>
      <c r="AH49" t="s">
        <v>41</v>
      </c>
      <c r="AI49" t="s">
        <v>41</v>
      </c>
      <c r="AJ49" t="s">
        <v>41</v>
      </c>
      <c r="AK49" t="s">
        <v>41</v>
      </c>
      <c r="AL49" t="s">
        <v>41</v>
      </c>
      <c r="AM49" t="s">
        <v>41</v>
      </c>
      <c r="AN49" t="s">
        <v>41</v>
      </c>
      <c r="AO49" t="s">
        <v>41</v>
      </c>
      <c r="AP49" t="s">
        <v>41</v>
      </c>
      <c r="AQ49" t="s">
        <v>41</v>
      </c>
      <c r="AR49" s="220" t="s">
        <v>41</v>
      </c>
      <c r="AS49" t="s">
        <v>5</v>
      </c>
      <c r="AT49">
        <v>2</v>
      </c>
      <c r="AU49" s="11">
        <v>0.54</v>
      </c>
      <c r="AV49" s="85" t="s">
        <v>41</v>
      </c>
      <c r="AW49" s="220" t="s">
        <v>45</v>
      </c>
      <c r="AX49" s="6">
        <f t="shared" si="17"/>
        <v>5.583333333333333</v>
      </c>
      <c r="AY49" s="9" t="str">
        <f t="shared" si="18"/>
        <v>Reg</v>
      </c>
      <c r="AZ49" s="9">
        <f t="shared" si="19"/>
        <v>5.583333333333333</v>
      </c>
      <c r="BA49" s="9" t="str">
        <f t="shared" si="20"/>
        <v>Reg</v>
      </c>
      <c r="BB49" s="9">
        <f t="shared" si="21"/>
        <v>5.583333333333333</v>
      </c>
      <c r="BC49" s="9" t="str">
        <f t="shared" si="22"/>
        <v>Reg</v>
      </c>
      <c r="BD49" s="84">
        <f t="shared" si="23"/>
        <v>3</v>
      </c>
      <c r="BE49" s="83">
        <f t="shared" si="24"/>
        <v>2</v>
      </c>
      <c r="BF49" t="str">
        <f t="shared" si="25"/>
        <v/>
      </c>
      <c r="BG49" s="91">
        <f>IF(O49="-","-",VLOOKUP($E49,CTPit!$E$10:$AW$75,BG$9,FALSE)-O49)</f>
        <v>0</v>
      </c>
      <c r="BH49" s="91">
        <f>IF(P49="-","-",VLOOKUP($E49,CTPit!$E$10:$AW$75,BH$9,FALSE)-P49)</f>
        <v>0</v>
      </c>
      <c r="BI49" s="91">
        <f>IF(Q49="-","-",VLOOKUP($E49,CTPit!$E$10:$AW$75,BI$9,FALSE)-Q49)</f>
        <v>0</v>
      </c>
      <c r="BJ49" s="91">
        <f>IF(R49="-","-",VLOOKUP($E49,CTPit!$E$10:$AW$75,BJ$9,FALSE)-R49)</f>
        <v>0</v>
      </c>
      <c r="BK49" s="91">
        <f>IF(S49="-","-",VLOOKUP($E49,CTPit!$E$10:$AW$75,BK$9,FALSE)-S49)</f>
        <v>0</v>
      </c>
      <c r="BL49" s="91">
        <f>IF(T49="-","-",VLOOKUP($E49,CTPit!$E$10:$AW$75,BL$9,FALSE)-T49)</f>
        <v>0</v>
      </c>
      <c r="BM49" s="91">
        <f>IF(U49="-","-",VLOOKUP($E49,CTPit!$E$10:$AW$75,BM$9,FALSE)-U49)</f>
        <v>0</v>
      </c>
      <c r="BN49" s="91">
        <f>IF(V49="-","-",VLOOKUP($E49,CTPit!$E$10:$AW$75,BN$9,FALSE)-V49)</f>
        <v>0</v>
      </c>
      <c r="BO49" s="91">
        <f>IF(W49="-","-",VLOOKUP($E49,CTPit!$E$10:$AW$75,BO$9,FALSE)-W49)</f>
        <v>0</v>
      </c>
      <c r="BP49" s="91">
        <f>IF(X49="-","-",VLOOKUP($E49,CTPit!$E$10:$AW$75,BP$9,FALSE)-X49)</f>
        <v>0</v>
      </c>
      <c r="BQ49" s="91" t="str">
        <f>IF(Y49="-","-",VLOOKUP($E49,CTPit!$E$10:$AW$75,BQ$9,FALSE)-Y49)</f>
        <v>-</v>
      </c>
      <c r="BR49" s="91" t="str">
        <f>IF(Z49="-","-",VLOOKUP($E49,CTPit!$E$10:$AW$75,BR$9,FALSE)-Z49)</f>
        <v>-</v>
      </c>
      <c r="BS49" s="91">
        <f>IF(AA49="-","-",VLOOKUP($E49,CTPit!$E$10:$AW$75,BS$9,FALSE)-AA49)</f>
        <v>0</v>
      </c>
      <c r="BT49" s="91">
        <f>IF(AB49="-","-",VLOOKUP($E49,CTPit!$E$10:$AW$75,BT$9,FALSE)-AB49)</f>
        <v>0</v>
      </c>
      <c r="BU49" s="91" t="str">
        <f>IF(AC49="-","-",VLOOKUP($E49,CTPit!$E$10:$AW$75,BU$9,FALSE)-AC49)</f>
        <v>-</v>
      </c>
      <c r="BV49" s="91" t="str">
        <f>IF(AD49="-","-",VLOOKUP($E49,CTPit!$E$10:$AW$75,BV$9,FALSE)-AD49)</f>
        <v>-</v>
      </c>
      <c r="BW49" s="91" t="str">
        <f>IF(AE49="-","-",VLOOKUP($E49,CTPit!$E$10:$AW$75,BW$9,FALSE)-AE49)</f>
        <v>-</v>
      </c>
      <c r="BX49" s="91" t="str">
        <f>IF(AF49="-","-",VLOOKUP($E49,CTPit!$E$10:$AW$75,BX$9,FALSE)-AF49)</f>
        <v>-</v>
      </c>
      <c r="BY49" s="91" t="str">
        <f>IF(AG49="-","-",VLOOKUP($E49,CTPit!$E$10:$AW$75,BY$9,FALSE)-AG49)</f>
        <v>-</v>
      </c>
      <c r="BZ49" s="91" t="str">
        <f>IF(AH49="-","-",VLOOKUP($E49,CTPit!$E$10:$AW$75,BZ$9,FALSE)-AH49)</f>
        <v>-</v>
      </c>
      <c r="CA49" s="91" t="str">
        <f>IF(AI49="-","-",VLOOKUP($E49,CTPit!$E$10:$AW$75,CA$9,FALSE)-AI49)</f>
        <v>-</v>
      </c>
      <c r="CB49" s="91" t="str">
        <f>IF(AJ49="-","-",VLOOKUP($E49,CTPit!$E$10:$AW$75,CB$9,FALSE)-AJ49)</f>
        <v>-</v>
      </c>
      <c r="CC49" s="91" t="str">
        <f>IF(AK49="-","-",VLOOKUP($E49,CTPit!$E$10:$AW$75,CC$9,FALSE)-AK49)</f>
        <v>-</v>
      </c>
      <c r="CD49" s="91" t="str">
        <f>IF(AL49="-","-",VLOOKUP($E49,CTPit!$E$10:$AW$75,CD$9,FALSE)-AL49)</f>
        <v>-</v>
      </c>
      <c r="CE49" s="91" t="str">
        <f>IF(AM49="-","-",VLOOKUP($E49,CTPit!$E$10:$AW$75,CE$9,FALSE)-AM49)</f>
        <v>-</v>
      </c>
      <c r="CF49" s="91" t="str">
        <f>IF(AN49="-","-",VLOOKUP($E49,CTPit!$E$10:$AW$75,CF$9,FALSE)-AN49)</f>
        <v>-</v>
      </c>
      <c r="CG49" s="91" t="str">
        <f>IF(AO49="-","-",VLOOKUP($E49,CTPit!$E$10:$AW$75,CG$9,FALSE)-AO49)</f>
        <v>-</v>
      </c>
      <c r="CH49" s="91" t="str">
        <f>IF(AP49="-","-",VLOOKUP($E49,CTPit!$E$10:$AW$75,CH$9,FALSE)-AP49)</f>
        <v>-</v>
      </c>
      <c r="CI49" s="91" t="str">
        <f>IF(AQ49="-","-",VLOOKUP($E49,CTPit!$E$10:$AW$75,CI$9,FALSE)-AQ49)</f>
        <v>-</v>
      </c>
      <c r="CJ49" s="91" t="str">
        <f>IF(AR49="-","-",VLOOKUP($E49,CTPit!$E$10:$AW$75,CJ$9,FALSE)-AR49)</f>
        <v>-</v>
      </c>
      <c r="CK49">
        <f t="shared" si="26"/>
        <v>0</v>
      </c>
    </row>
    <row r="50" spans="3:89">
      <c r="C50" t="str">
        <f t="shared" si="16"/>
        <v>K</v>
      </c>
      <c r="D50" t="s">
        <v>112</v>
      </c>
      <c r="E50" t="s">
        <v>508</v>
      </c>
      <c r="F50" t="s">
        <v>386</v>
      </c>
      <c r="G50" t="s">
        <v>215</v>
      </c>
      <c r="H50">
        <v>22</v>
      </c>
      <c r="I50" t="s">
        <v>107</v>
      </c>
      <c r="J50" s="220" t="s">
        <v>107</v>
      </c>
      <c r="K50" t="s">
        <v>42</v>
      </c>
      <c r="L50" t="s">
        <v>48</v>
      </c>
      <c r="M50" t="s">
        <v>229</v>
      </c>
      <c r="N50" s="220" t="s">
        <v>232</v>
      </c>
      <c r="O50">
        <v>9</v>
      </c>
      <c r="P50">
        <v>4</v>
      </c>
      <c r="Q50" s="220">
        <v>3</v>
      </c>
      <c r="R50">
        <v>10</v>
      </c>
      <c r="S50">
        <v>4</v>
      </c>
      <c r="T50" s="220">
        <v>5</v>
      </c>
      <c r="U50">
        <v>10</v>
      </c>
      <c r="V50">
        <v>10</v>
      </c>
      <c r="W50" t="s">
        <v>41</v>
      </c>
      <c r="X50" t="s">
        <v>41</v>
      </c>
      <c r="Y50">
        <v>5</v>
      </c>
      <c r="Z50">
        <v>8</v>
      </c>
      <c r="AA50" t="s">
        <v>41</v>
      </c>
      <c r="AB50" t="s">
        <v>41</v>
      </c>
      <c r="AC50" t="s">
        <v>41</v>
      </c>
      <c r="AD50" t="s">
        <v>41</v>
      </c>
      <c r="AE50" t="s">
        <v>41</v>
      </c>
      <c r="AF50" t="s">
        <v>41</v>
      </c>
      <c r="AG50" t="s">
        <v>41</v>
      </c>
      <c r="AH50" t="s">
        <v>41</v>
      </c>
      <c r="AI50" t="s">
        <v>41</v>
      </c>
      <c r="AJ50" t="s">
        <v>41</v>
      </c>
      <c r="AK50" t="s">
        <v>41</v>
      </c>
      <c r="AL50" t="s">
        <v>41</v>
      </c>
      <c r="AM50" t="s">
        <v>41</v>
      </c>
      <c r="AN50" t="s">
        <v>41</v>
      </c>
      <c r="AO50" t="s">
        <v>41</v>
      </c>
      <c r="AP50" t="s">
        <v>41</v>
      </c>
      <c r="AQ50" t="s">
        <v>41</v>
      </c>
      <c r="AR50" s="220" t="s">
        <v>41</v>
      </c>
      <c r="AS50" t="s">
        <v>419</v>
      </c>
      <c r="AT50">
        <v>2</v>
      </c>
      <c r="AU50" s="11">
        <v>0.41</v>
      </c>
      <c r="AV50" s="85" t="s">
        <v>41</v>
      </c>
      <c r="AW50" s="220">
        <v>0</v>
      </c>
      <c r="AX50" s="6">
        <f t="shared" si="17"/>
        <v>5.583333333333333</v>
      </c>
      <c r="AY50" s="9" t="str">
        <f t="shared" si="18"/>
        <v>Reg</v>
      </c>
      <c r="AZ50" s="9">
        <f t="shared" si="19"/>
        <v>6.583333333333333</v>
      </c>
      <c r="BA50" s="9" t="str">
        <f t="shared" si="20"/>
        <v>GoodReg</v>
      </c>
      <c r="BB50" s="9">
        <f t="shared" si="21"/>
        <v>6.583333333333333</v>
      </c>
      <c r="BC50" s="9" t="str">
        <f t="shared" si="22"/>
        <v>GoodReg</v>
      </c>
      <c r="BD50" s="84">
        <f t="shared" si="23"/>
        <v>2</v>
      </c>
      <c r="BE50" s="83">
        <f t="shared" si="24"/>
        <v>1.5</v>
      </c>
      <c r="BF50" t="str">
        <f t="shared" si="25"/>
        <v/>
      </c>
      <c r="BG50" s="91">
        <f>IF(O50="-","-",VLOOKUP($E50,CTPit!$E$10:$AW$75,BG$9,FALSE)-O50)</f>
        <v>0</v>
      </c>
      <c r="BH50" s="91">
        <f>IF(P50="-","-",VLOOKUP($E50,CTPit!$E$10:$AW$75,BH$9,FALSE)-P50)</f>
        <v>0</v>
      </c>
      <c r="BI50" s="91">
        <f>IF(Q50="-","-",VLOOKUP($E50,CTPit!$E$10:$AW$75,BI$9,FALSE)-Q50)</f>
        <v>0</v>
      </c>
      <c r="BJ50" s="91">
        <f>IF(R50="-","-",VLOOKUP($E50,CTPit!$E$10:$AW$75,BJ$9,FALSE)-R50)</f>
        <v>0</v>
      </c>
      <c r="BK50" s="91">
        <f>IF(S50="-","-",VLOOKUP($E50,CTPit!$E$10:$AW$75,BK$9,FALSE)-S50)</f>
        <v>0</v>
      </c>
      <c r="BL50" s="91">
        <f>IF(T50="-","-",VLOOKUP($E50,CTPit!$E$10:$AW$75,BL$9,FALSE)-T50)</f>
        <v>0</v>
      </c>
      <c r="BM50" s="91">
        <f>IF(U50="-","-",VLOOKUP($E50,CTPit!$E$10:$AW$75,BM$9,FALSE)-U50)</f>
        <v>0</v>
      </c>
      <c r="BN50" s="91">
        <f>IF(V50="-","-",VLOOKUP($E50,CTPit!$E$10:$AW$75,BN$9,FALSE)-V50)</f>
        <v>0</v>
      </c>
      <c r="BO50" s="91" t="str">
        <f>IF(W50="-","-",VLOOKUP($E50,CTPit!$E$10:$AW$75,BO$9,FALSE)-W50)</f>
        <v>-</v>
      </c>
      <c r="BP50" s="91" t="str">
        <f>IF(X50="-","-",VLOOKUP($E50,CTPit!$E$10:$AW$75,BP$9,FALSE)-X50)</f>
        <v>-</v>
      </c>
      <c r="BQ50" s="91">
        <f>IF(Y50="-","-",VLOOKUP($E50,CTPit!$E$10:$AW$75,BQ$9,FALSE)-Y50)</f>
        <v>0</v>
      </c>
      <c r="BR50" s="91">
        <f>IF(Z50="-","-",VLOOKUP($E50,CTPit!$E$10:$AW$75,BR$9,FALSE)-Z50)</f>
        <v>0</v>
      </c>
      <c r="BS50" s="91" t="str">
        <f>IF(AA50="-","-",VLOOKUP($E50,CTPit!$E$10:$AW$75,BS$9,FALSE)-AA50)</f>
        <v>-</v>
      </c>
      <c r="BT50" s="91" t="str">
        <f>IF(AB50="-","-",VLOOKUP($E50,CTPit!$E$10:$AW$75,BT$9,FALSE)-AB50)</f>
        <v>-</v>
      </c>
      <c r="BU50" s="91" t="str">
        <f>IF(AC50="-","-",VLOOKUP($E50,CTPit!$E$10:$AW$75,BU$9,FALSE)-AC50)</f>
        <v>-</v>
      </c>
      <c r="BV50" s="91" t="str">
        <f>IF(AD50="-","-",VLOOKUP($E50,CTPit!$E$10:$AW$75,BV$9,FALSE)-AD50)</f>
        <v>-</v>
      </c>
      <c r="BW50" s="91" t="str">
        <f>IF(AE50="-","-",VLOOKUP($E50,CTPit!$E$10:$AW$75,BW$9,FALSE)-AE50)</f>
        <v>-</v>
      </c>
      <c r="BX50" s="91" t="str">
        <f>IF(AF50="-","-",VLOOKUP($E50,CTPit!$E$10:$AW$75,BX$9,FALSE)-AF50)</f>
        <v>-</v>
      </c>
      <c r="BY50" s="91" t="str">
        <f>IF(AG50="-","-",VLOOKUP($E50,CTPit!$E$10:$AW$75,BY$9,FALSE)-AG50)</f>
        <v>-</v>
      </c>
      <c r="BZ50" s="91" t="str">
        <f>IF(AH50="-","-",VLOOKUP($E50,CTPit!$E$10:$AW$75,BZ$9,FALSE)-AH50)</f>
        <v>-</v>
      </c>
      <c r="CA50" s="91" t="str">
        <f>IF(AI50="-","-",VLOOKUP($E50,CTPit!$E$10:$AW$75,CA$9,FALSE)-AI50)</f>
        <v>-</v>
      </c>
      <c r="CB50" s="91" t="str">
        <f>IF(AJ50="-","-",VLOOKUP($E50,CTPit!$E$10:$AW$75,CB$9,FALSE)-AJ50)</f>
        <v>-</v>
      </c>
      <c r="CC50" s="91" t="str">
        <f>IF(AK50="-","-",VLOOKUP($E50,CTPit!$E$10:$AW$75,CC$9,FALSE)-AK50)</f>
        <v>-</v>
      </c>
      <c r="CD50" s="91" t="str">
        <f>IF(AL50="-","-",VLOOKUP($E50,CTPit!$E$10:$AW$75,CD$9,FALSE)-AL50)</f>
        <v>-</v>
      </c>
      <c r="CE50" s="91" t="str">
        <f>IF(AM50="-","-",VLOOKUP($E50,CTPit!$E$10:$AW$75,CE$9,FALSE)-AM50)</f>
        <v>-</v>
      </c>
      <c r="CF50" s="91" t="str">
        <f>IF(AN50="-","-",VLOOKUP($E50,CTPit!$E$10:$AW$75,CF$9,FALSE)-AN50)</f>
        <v>-</v>
      </c>
      <c r="CG50" s="91" t="str">
        <f>IF(AO50="-","-",VLOOKUP($E50,CTPit!$E$10:$AW$75,CG$9,FALSE)-AO50)</f>
        <v>-</v>
      </c>
      <c r="CH50" s="91" t="str">
        <f>IF(AP50="-","-",VLOOKUP($E50,CTPit!$E$10:$AW$75,CH$9,FALSE)-AP50)</f>
        <v>-</v>
      </c>
      <c r="CI50" s="91" t="str">
        <f>IF(AQ50="-","-",VLOOKUP($E50,CTPit!$E$10:$AW$75,CI$9,FALSE)-AQ50)</f>
        <v>-</v>
      </c>
      <c r="CJ50" s="91" t="str">
        <f>IF(AR50="-","-",VLOOKUP($E50,CTPit!$E$10:$AW$75,CJ$9,FALSE)-AR50)</f>
        <v>-</v>
      </c>
      <c r="CK50">
        <f t="shared" si="26"/>
        <v>0</v>
      </c>
    </row>
    <row r="51" spans="3:89">
      <c r="C51" t="str">
        <f t="shared" si="16"/>
        <v>K</v>
      </c>
      <c r="D51" t="s">
        <v>110</v>
      </c>
      <c r="E51" t="s">
        <v>12</v>
      </c>
      <c r="F51" t="s">
        <v>25</v>
      </c>
      <c r="G51" t="s">
        <v>212</v>
      </c>
      <c r="H51">
        <v>27</v>
      </c>
      <c r="I51" t="s">
        <v>107</v>
      </c>
      <c r="J51" s="220" t="s">
        <v>107</v>
      </c>
      <c r="K51" t="s">
        <v>42</v>
      </c>
      <c r="L51" t="s">
        <v>42</v>
      </c>
      <c r="M51" t="s">
        <v>230</v>
      </c>
      <c r="N51" s="220" t="s">
        <v>228</v>
      </c>
      <c r="O51">
        <v>5</v>
      </c>
      <c r="P51">
        <v>7</v>
      </c>
      <c r="Q51" s="220">
        <v>3</v>
      </c>
      <c r="R51">
        <v>5</v>
      </c>
      <c r="S51">
        <v>7</v>
      </c>
      <c r="T51" s="220">
        <v>4</v>
      </c>
      <c r="U51">
        <v>5</v>
      </c>
      <c r="V51">
        <v>5</v>
      </c>
      <c r="W51">
        <v>4</v>
      </c>
      <c r="X51">
        <v>4</v>
      </c>
      <c r="Y51" t="s">
        <v>41</v>
      </c>
      <c r="Z51" t="s">
        <v>41</v>
      </c>
      <c r="AA51">
        <v>3</v>
      </c>
      <c r="AB51">
        <v>3</v>
      </c>
      <c r="AC51">
        <v>5</v>
      </c>
      <c r="AD51">
        <v>6</v>
      </c>
      <c r="AE51" t="s">
        <v>41</v>
      </c>
      <c r="AF51" t="s">
        <v>41</v>
      </c>
      <c r="AG51" t="s">
        <v>41</v>
      </c>
      <c r="AH51" t="s">
        <v>41</v>
      </c>
      <c r="AI51" t="s">
        <v>41</v>
      </c>
      <c r="AJ51" t="s">
        <v>41</v>
      </c>
      <c r="AK51" t="s">
        <v>41</v>
      </c>
      <c r="AL51" t="s">
        <v>41</v>
      </c>
      <c r="AM51" t="s">
        <v>41</v>
      </c>
      <c r="AN51" t="s">
        <v>41</v>
      </c>
      <c r="AO51" t="s">
        <v>41</v>
      </c>
      <c r="AP51" t="s">
        <v>41</v>
      </c>
      <c r="AQ51" t="s">
        <v>41</v>
      </c>
      <c r="AR51" s="220" t="s">
        <v>41</v>
      </c>
      <c r="AS51" t="s">
        <v>2</v>
      </c>
      <c r="AT51">
        <v>2</v>
      </c>
      <c r="AU51" s="11">
        <v>0.62</v>
      </c>
      <c r="AV51" s="85" t="s">
        <v>41</v>
      </c>
      <c r="AW51" s="220">
        <v>0</v>
      </c>
      <c r="AX51" s="6">
        <f t="shared" si="17"/>
        <v>5.5</v>
      </c>
      <c r="AY51" s="9" t="str">
        <f t="shared" si="18"/>
        <v>Reg</v>
      </c>
      <c r="AZ51" s="9">
        <f t="shared" si="19"/>
        <v>6.083333333333333</v>
      </c>
      <c r="BA51" s="9" t="str">
        <f t="shared" si="20"/>
        <v>Reg</v>
      </c>
      <c r="BB51" s="9">
        <f t="shared" si="21"/>
        <v>6.083333333333333</v>
      </c>
      <c r="BC51" s="9" t="str">
        <f t="shared" si="22"/>
        <v>Reg</v>
      </c>
      <c r="BD51" s="84">
        <f t="shared" si="23"/>
        <v>4</v>
      </c>
      <c r="BE51" s="83">
        <f t="shared" si="24"/>
        <v>0.5</v>
      </c>
      <c r="BF51" t="str">
        <f t="shared" si="25"/>
        <v/>
      </c>
      <c r="BG51" s="91">
        <f>IF(O51="-","-",VLOOKUP($E51,CTPit!$E$10:$AW$75,BG$9,FALSE)-O51)</f>
        <v>0</v>
      </c>
      <c r="BH51" s="91">
        <f>IF(P51="-","-",VLOOKUP($E51,CTPit!$E$10:$AW$75,BH$9,FALSE)-P51)</f>
        <v>0</v>
      </c>
      <c r="BI51" s="91">
        <f>IF(Q51="-","-",VLOOKUP($E51,CTPit!$E$10:$AW$75,BI$9,FALSE)-Q51)</f>
        <v>0</v>
      </c>
      <c r="BJ51" s="91">
        <f>IF(R51="-","-",VLOOKUP($E51,CTPit!$E$10:$AW$75,BJ$9,FALSE)-R51)</f>
        <v>0</v>
      </c>
      <c r="BK51" s="91">
        <f>IF(S51="-","-",VLOOKUP($E51,CTPit!$E$10:$AW$75,BK$9,FALSE)-S51)</f>
        <v>0</v>
      </c>
      <c r="BL51" s="91">
        <f>IF(T51="-","-",VLOOKUP($E51,CTPit!$E$10:$AW$75,BL$9,FALSE)-T51)</f>
        <v>0</v>
      </c>
      <c r="BM51" s="91">
        <f>IF(U51="-","-",VLOOKUP($E51,CTPit!$E$10:$AW$75,BM$9,FALSE)-U51)</f>
        <v>0</v>
      </c>
      <c r="BN51" s="91">
        <f>IF(V51="-","-",VLOOKUP($E51,CTPit!$E$10:$AW$75,BN$9,FALSE)-V51)</f>
        <v>0</v>
      </c>
      <c r="BO51" s="91">
        <f>IF(W51="-","-",VLOOKUP($E51,CTPit!$E$10:$AW$75,BO$9,FALSE)-W51)</f>
        <v>0</v>
      </c>
      <c r="BP51" s="91">
        <f>IF(X51="-","-",VLOOKUP($E51,CTPit!$E$10:$AW$75,BP$9,FALSE)-X51)</f>
        <v>0</v>
      </c>
      <c r="BQ51" s="91" t="str">
        <f>IF(Y51="-","-",VLOOKUP($E51,CTPit!$E$10:$AW$75,BQ$9,FALSE)-Y51)</f>
        <v>-</v>
      </c>
      <c r="BR51" s="91" t="str">
        <f>IF(Z51="-","-",VLOOKUP($E51,CTPit!$E$10:$AW$75,BR$9,FALSE)-Z51)</f>
        <v>-</v>
      </c>
      <c r="BS51" s="91">
        <f>IF(AA51="-","-",VLOOKUP($E51,CTPit!$E$10:$AW$75,BS$9,FALSE)-AA51)</f>
        <v>0</v>
      </c>
      <c r="BT51" s="91">
        <f>IF(AB51="-","-",VLOOKUP($E51,CTPit!$E$10:$AW$75,BT$9,FALSE)-AB51)</f>
        <v>0</v>
      </c>
      <c r="BU51" s="91">
        <f>IF(AC51="-","-",VLOOKUP($E51,CTPit!$E$10:$AW$75,BU$9,FALSE)-AC51)</f>
        <v>0</v>
      </c>
      <c r="BV51" s="91">
        <f>IF(AD51="-","-",VLOOKUP($E51,CTPit!$E$10:$AW$75,BV$9,FALSE)-AD51)</f>
        <v>0</v>
      </c>
      <c r="BW51" s="91" t="str">
        <f>IF(AE51="-","-",VLOOKUP($E51,CTPit!$E$10:$AW$75,BW$9,FALSE)-AE51)</f>
        <v>-</v>
      </c>
      <c r="BX51" s="91" t="str">
        <f>IF(AF51="-","-",VLOOKUP($E51,CTPit!$E$10:$AW$75,BX$9,FALSE)-AF51)</f>
        <v>-</v>
      </c>
      <c r="BY51" s="91" t="str">
        <f>IF(AG51="-","-",VLOOKUP($E51,CTPit!$E$10:$AW$75,BY$9,FALSE)-AG51)</f>
        <v>-</v>
      </c>
      <c r="BZ51" s="91" t="str">
        <f>IF(AH51="-","-",VLOOKUP($E51,CTPit!$E$10:$AW$75,BZ$9,FALSE)-AH51)</f>
        <v>-</v>
      </c>
      <c r="CA51" s="91" t="str">
        <f>IF(AI51="-","-",VLOOKUP($E51,CTPit!$E$10:$AW$75,CA$9,FALSE)-AI51)</f>
        <v>-</v>
      </c>
      <c r="CB51" s="91" t="str">
        <f>IF(AJ51="-","-",VLOOKUP($E51,CTPit!$E$10:$AW$75,CB$9,FALSE)-AJ51)</f>
        <v>-</v>
      </c>
      <c r="CC51" s="91" t="str">
        <f>IF(AK51="-","-",VLOOKUP($E51,CTPit!$E$10:$AW$75,CC$9,FALSE)-AK51)</f>
        <v>-</v>
      </c>
      <c r="CD51" s="91" t="str">
        <f>IF(AL51="-","-",VLOOKUP($E51,CTPit!$E$10:$AW$75,CD$9,FALSE)-AL51)</f>
        <v>-</v>
      </c>
      <c r="CE51" s="91" t="str">
        <f>IF(AM51="-","-",VLOOKUP($E51,CTPit!$E$10:$AW$75,CE$9,FALSE)-AM51)</f>
        <v>-</v>
      </c>
      <c r="CF51" s="91" t="str">
        <f>IF(AN51="-","-",VLOOKUP($E51,CTPit!$E$10:$AW$75,CF$9,FALSE)-AN51)</f>
        <v>-</v>
      </c>
      <c r="CG51" s="91" t="str">
        <f>IF(AO51="-","-",VLOOKUP($E51,CTPit!$E$10:$AW$75,CG$9,FALSE)-AO51)</f>
        <v>-</v>
      </c>
      <c r="CH51" s="91" t="str">
        <f>IF(AP51="-","-",VLOOKUP($E51,CTPit!$E$10:$AW$75,CH$9,FALSE)-AP51)</f>
        <v>-</v>
      </c>
      <c r="CI51" s="91" t="str">
        <f>IF(AQ51="-","-",VLOOKUP($E51,CTPit!$E$10:$AW$75,CI$9,FALSE)-AQ51)</f>
        <v>-</v>
      </c>
      <c r="CJ51" s="91" t="str">
        <f>IF(AR51="-","-",VLOOKUP($E51,CTPit!$E$10:$AW$75,CJ$9,FALSE)-AR51)</f>
        <v>-</v>
      </c>
      <c r="CK51">
        <f t="shared" si="26"/>
        <v>0</v>
      </c>
    </row>
    <row r="52" spans="3:89">
      <c r="C52" t="str">
        <f t="shared" si="16"/>
        <v>K</v>
      </c>
      <c r="D52" t="s">
        <v>110</v>
      </c>
      <c r="E52" t="s">
        <v>556</v>
      </c>
      <c r="F52" t="s">
        <v>384</v>
      </c>
      <c r="G52" t="s">
        <v>213</v>
      </c>
      <c r="H52">
        <v>30</v>
      </c>
      <c r="I52" t="s">
        <v>106</v>
      </c>
      <c r="J52" s="220" t="s">
        <v>106</v>
      </c>
      <c r="K52" t="s">
        <v>42</v>
      </c>
      <c r="L52" t="s">
        <v>42</v>
      </c>
      <c r="M52" t="s">
        <v>231</v>
      </c>
      <c r="N52" s="220" t="s">
        <v>228</v>
      </c>
      <c r="O52">
        <v>3</v>
      </c>
      <c r="P52">
        <v>5</v>
      </c>
      <c r="Q52" s="220">
        <v>7</v>
      </c>
      <c r="R52">
        <v>3</v>
      </c>
      <c r="S52">
        <v>5</v>
      </c>
      <c r="T52" s="220">
        <v>7</v>
      </c>
      <c r="U52">
        <v>4</v>
      </c>
      <c r="V52">
        <v>4</v>
      </c>
      <c r="W52">
        <v>3</v>
      </c>
      <c r="X52">
        <v>3</v>
      </c>
      <c r="Y52">
        <v>3</v>
      </c>
      <c r="Z52">
        <v>3</v>
      </c>
      <c r="AA52">
        <v>3</v>
      </c>
      <c r="AB52">
        <v>3</v>
      </c>
      <c r="AC52" t="s">
        <v>41</v>
      </c>
      <c r="AD52" t="s">
        <v>41</v>
      </c>
      <c r="AE52" t="s">
        <v>41</v>
      </c>
      <c r="AF52" t="s">
        <v>41</v>
      </c>
      <c r="AG52" t="s">
        <v>41</v>
      </c>
      <c r="AH52" t="s">
        <v>41</v>
      </c>
      <c r="AI52" t="s">
        <v>41</v>
      </c>
      <c r="AJ52" t="s">
        <v>41</v>
      </c>
      <c r="AK52">
        <v>2</v>
      </c>
      <c r="AL52">
        <v>2</v>
      </c>
      <c r="AM52" t="s">
        <v>41</v>
      </c>
      <c r="AN52" t="s">
        <v>41</v>
      </c>
      <c r="AO52" t="s">
        <v>41</v>
      </c>
      <c r="AP52" t="s">
        <v>41</v>
      </c>
      <c r="AQ52" t="s">
        <v>41</v>
      </c>
      <c r="AR52" s="220" t="s">
        <v>41</v>
      </c>
      <c r="AS52" t="s">
        <v>1</v>
      </c>
      <c r="AT52">
        <v>9</v>
      </c>
      <c r="AU52" s="11">
        <v>0.43</v>
      </c>
      <c r="AV52" s="85" t="s">
        <v>41</v>
      </c>
      <c r="AW52" s="220">
        <v>0</v>
      </c>
      <c r="AX52" s="6">
        <f t="shared" si="17"/>
        <v>5.5</v>
      </c>
      <c r="AY52" s="9" t="str">
        <f t="shared" si="18"/>
        <v>Reg</v>
      </c>
      <c r="AZ52" s="9">
        <f t="shared" si="19"/>
        <v>5.5</v>
      </c>
      <c r="BA52" s="9" t="str">
        <f t="shared" si="20"/>
        <v>Reg</v>
      </c>
      <c r="BB52" s="9">
        <f t="shared" si="21"/>
        <v>5.5</v>
      </c>
      <c r="BC52" s="9" t="str">
        <f t="shared" si="22"/>
        <v>Reg</v>
      </c>
      <c r="BD52" s="84">
        <f t="shared" si="23"/>
        <v>5</v>
      </c>
      <c r="BE52" s="83">
        <f t="shared" si="24"/>
        <v>0</v>
      </c>
      <c r="BF52" t="str">
        <f t="shared" si="25"/>
        <v/>
      </c>
      <c r="BG52" s="91">
        <f>IF(O52="-","-",VLOOKUP($E52,CTPit!$E$10:$AW$75,BG$9,FALSE)-O52)</f>
        <v>0</v>
      </c>
      <c r="BH52" s="91">
        <f>IF(P52="-","-",VLOOKUP($E52,CTPit!$E$10:$AW$75,BH$9,FALSE)-P52)</f>
        <v>0</v>
      </c>
      <c r="BI52" s="91">
        <f>IF(Q52="-","-",VLOOKUP($E52,CTPit!$E$10:$AW$75,BI$9,FALSE)-Q52)</f>
        <v>0</v>
      </c>
      <c r="BJ52" s="91">
        <f>IF(R52="-","-",VLOOKUP($E52,CTPit!$E$10:$AW$75,BJ$9,FALSE)-R52)</f>
        <v>0</v>
      </c>
      <c r="BK52" s="91">
        <f>IF(S52="-","-",VLOOKUP($E52,CTPit!$E$10:$AW$75,BK$9,FALSE)-S52)</f>
        <v>0</v>
      </c>
      <c r="BL52" s="91">
        <f>IF(T52="-","-",VLOOKUP($E52,CTPit!$E$10:$AW$75,BL$9,FALSE)-T52)</f>
        <v>0</v>
      </c>
      <c r="BM52" s="91">
        <f>IF(U52="-","-",VLOOKUP($E52,CTPit!$E$10:$AW$75,BM$9,FALSE)-U52)</f>
        <v>0</v>
      </c>
      <c r="BN52" s="91">
        <f>IF(V52="-","-",VLOOKUP($E52,CTPit!$E$10:$AW$75,BN$9,FALSE)-V52)</f>
        <v>0</v>
      </c>
      <c r="BO52" s="91">
        <f>IF(W52="-","-",VLOOKUP($E52,CTPit!$E$10:$AW$75,BO$9,FALSE)-W52)</f>
        <v>0</v>
      </c>
      <c r="BP52" s="91">
        <f>IF(X52="-","-",VLOOKUP($E52,CTPit!$E$10:$AW$75,BP$9,FALSE)-X52)</f>
        <v>0</v>
      </c>
      <c r="BQ52" s="91">
        <f>IF(Y52="-","-",VLOOKUP($E52,CTPit!$E$10:$AW$75,BQ$9,FALSE)-Y52)</f>
        <v>0</v>
      </c>
      <c r="BR52" s="91">
        <f>IF(Z52="-","-",VLOOKUP($E52,CTPit!$E$10:$AW$75,BR$9,FALSE)-Z52)</f>
        <v>0</v>
      </c>
      <c r="BS52" s="91">
        <f>IF(AA52="-","-",VLOOKUP($E52,CTPit!$E$10:$AW$75,BS$9,FALSE)-AA52)</f>
        <v>0</v>
      </c>
      <c r="BT52" s="91">
        <f>IF(AB52="-","-",VLOOKUP($E52,CTPit!$E$10:$AW$75,BT$9,FALSE)-AB52)</f>
        <v>0</v>
      </c>
      <c r="BU52" s="91" t="str">
        <f>IF(AC52="-","-",VLOOKUP($E52,CTPit!$E$10:$AW$75,BU$9,FALSE)-AC52)</f>
        <v>-</v>
      </c>
      <c r="BV52" s="91" t="str">
        <f>IF(AD52="-","-",VLOOKUP($E52,CTPit!$E$10:$AW$75,BV$9,FALSE)-AD52)</f>
        <v>-</v>
      </c>
      <c r="BW52" s="91" t="str">
        <f>IF(AE52="-","-",VLOOKUP($E52,CTPit!$E$10:$AW$75,BW$9,FALSE)-AE52)</f>
        <v>-</v>
      </c>
      <c r="BX52" s="91" t="str">
        <f>IF(AF52="-","-",VLOOKUP($E52,CTPit!$E$10:$AW$75,BX$9,FALSE)-AF52)</f>
        <v>-</v>
      </c>
      <c r="BY52" s="91" t="str">
        <f>IF(AG52="-","-",VLOOKUP($E52,CTPit!$E$10:$AW$75,BY$9,FALSE)-AG52)</f>
        <v>-</v>
      </c>
      <c r="BZ52" s="91" t="str">
        <f>IF(AH52="-","-",VLOOKUP($E52,CTPit!$E$10:$AW$75,BZ$9,FALSE)-AH52)</f>
        <v>-</v>
      </c>
      <c r="CA52" s="91" t="str">
        <f>IF(AI52="-","-",VLOOKUP($E52,CTPit!$E$10:$AW$75,CA$9,FALSE)-AI52)</f>
        <v>-</v>
      </c>
      <c r="CB52" s="91" t="str">
        <f>IF(AJ52="-","-",VLOOKUP($E52,CTPit!$E$10:$AW$75,CB$9,FALSE)-AJ52)</f>
        <v>-</v>
      </c>
      <c r="CC52" s="91">
        <f>IF(AK52="-","-",VLOOKUP($E52,CTPit!$E$10:$AW$75,CC$9,FALSE)-AK52)</f>
        <v>0</v>
      </c>
      <c r="CD52" s="91">
        <f>IF(AL52="-","-",VLOOKUP($E52,CTPit!$E$10:$AW$75,CD$9,FALSE)-AL52)</f>
        <v>0</v>
      </c>
      <c r="CE52" s="91" t="str">
        <f>IF(AM52="-","-",VLOOKUP($E52,CTPit!$E$10:$AW$75,CE$9,FALSE)-AM52)</f>
        <v>-</v>
      </c>
      <c r="CF52" s="91" t="str">
        <f>IF(AN52="-","-",VLOOKUP($E52,CTPit!$E$10:$AW$75,CF$9,FALSE)-AN52)</f>
        <v>-</v>
      </c>
      <c r="CG52" s="91" t="str">
        <f>IF(AO52="-","-",VLOOKUP($E52,CTPit!$E$10:$AW$75,CG$9,FALSE)-AO52)</f>
        <v>-</v>
      </c>
      <c r="CH52" s="91" t="str">
        <f>IF(AP52="-","-",VLOOKUP($E52,CTPit!$E$10:$AW$75,CH$9,FALSE)-AP52)</f>
        <v>-</v>
      </c>
      <c r="CI52" s="91" t="str">
        <f>IF(AQ52="-","-",VLOOKUP($E52,CTPit!$E$10:$AW$75,CI$9,FALSE)-AQ52)</f>
        <v>-</v>
      </c>
      <c r="CJ52" s="91" t="str">
        <f>IF(AR52="-","-",VLOOKUP($E52,CTPit!$E$10:$AW$75,CJ$9,FALSE)-AR52)</f>
        <v>-</v>
      </c>
      <c r="CK52">
        <f t="shared" si="26"/>
        <v>0</v>
      </c>
    </row>
    <row r="53" spans="3:89">
      <c r="C53" t="str">
        <f t="shared" si="16"/>
        <v>K</v>
      </c>
      <c r="D53" t="s">
        <v>110</v>
      </c>
      <c r="E53" t="s">
        <v>573</v>
      </c>
      <c r="F53" t="s">
        <v>384</v>
      </c>
      <c r="G53" t="s">
        <v>213</v>
      </c>
      <c r="H53">
        <v>35</v>
      </c>
      <c r="I53" t="s">
        <v>107</v>
      </c>
      <c r="J53" s="220" t="s">
        <v>106</v>
      </c>
      <c r="K53" t="s">
        <v>42</v>
      </c>
      <c r="L53" t="s">
        <v>42</v>
      </c>
      <c r="M53" t="s">
        <v>229</v>
      </c>
      <c r="N53" s="220" t="s">
        <v>229</v>
      </c>
      <c r="O53">
        <v>4</v>
      </c>
      <c r="P53">
        <v>5</v>
      </c>
      <c r="Q53" s="220">
        <v>7</v>
      </c>
      <c r="R53">
        <v>4</v>
      </c>
      <c r="S53">
        <v>6</v>
      </c>
      <c r="T53" s="220">
        <v>7</v>
      </c>
      <c r="U53">
        <v>4</v>
      </c>
      <c r="V53">
        <v>4</v>
      </c>
      <c r="W53">
        <v>3</v>
      </c>
      <c r="X53">
        <v>3</v>
      </c>
      <c r="Y53" t="s">
        <v>41</v>
      </c>
      <c r="Z53" t="s">
        <v>41</v>
      </c>
      <c r="AA53">
        <v>3</v>
      </c>
      <c r="AB53">
        <v>4</v>
      </c>
      <c r="AC53" t="s">
        <v>41</v>
      </c>
      <c r="AD53" t="s">
        <v>41</v>
      </c>
      <c r="AE53" t="s">
        <v>41</v>
      </c>
      <c r="AF53" t="s">
        <v>41</v>
      </c>
      <c r="AG53" t="s">
        <v>41</v>
      </c>
      <c r="AH53" t="s">
        <v>41</v>
      </c>
      <c r="AI53" t="s">
        <v>41</v>
      </c>
      <c r="AJ53" t="s">
        <v>41</v>
      </c>
      <c r="AK53" t="s">
        <v>41</v>
      </c>
      <c r="AL53" t="s">
        <v>41</v>
      </c>
      <c r="AM53" t="s">
        <v>41</v>
      </c>
      <c r="AN53" t="s">
        <v>41</v>
      </c>
      <c r="AO53" t="s">
        <v>41</v>
      </c>
      <c r="AP53" t="s">
        <v>41</v>
      </c>
      <c r="AQ53" t="s">
        <v>41</v>
      </c>
      <c r="AR53" s="220" t="s">
        <v>41</v>
      </c>
      <c r="AS53" t="s">
        <v>574</v>
      </c>
      <c r="AT53">
        <v>6</v>
      </c>
      <c r="AU53" s="11">
        <v>0.44</v>
      </c>
      <c r="AV53" s="85" t="s">
        <v>41</v>
      </c>
      <c r="AW53" s="220">
        <v>0</v>
      </c>
      <c r="AX53" s="6">
        <f t="shared" si="17"/>
        <v>5.333333333333333</v>
      </c>
      <c r="AY53" s="9" t="str">
        <f t="shared" si="18"/>
        <v>Reg</v>
      </c>
      <c r="AZ53" s="9">
        <f t="shared" si="19"/>
        <v>5.666666666666667</v>
      </c>
      <c r="BA53" s="9" t="str">
        <f t="shared" si="20"/>
        <v>Reg</v>
      </c>
      <c r="BB53" s="9">
        <f t="shared" si="21"/>
        <v>5.666666666666667</v>
      </c>
      <c r="BC53" s="9" t="str">
        <f t="shared" si="22"/>
        <v>Reg</v>
      </c>
      <c r="BD53" s="84">
        <f t="shared" si="23"/>
        <v>3</v>
      </c>
      <c r="BE53" s="83">
        <f t="shared" si="24"/>
        <v>0</v>
      </c>
      <c r="BF53" t="str">
        <f t="shared" si="25"/>
        <v/>
      </c>
      <c r="BG53" s="91">
        <f>IF(O53="-","-",VLOOKUP($E53,CTPit!$E$10:$AW$75,BG$9,FALSE)-O53)</f>
        <v>0</v>
      </c>
      <c r="BH53" s="91">
        <f>IF(P53="-","-",VLOOKUP($E53,CTPit!$E$10:$AW$75,BH$9,FALSE)-P53)</f>
        <v>0</v>
      </c>
      <c r="BI53" s="91">
        <f>IF(Q53="-","-",VLOOKUP($E53,CTPit!$E$10:$AW$75,BI$9,FALSE)-Q53)</f>
        <v>0</v>
      </c>
      <c r="BJ53" s="91">
        <f>IF(R53="-","-",VLOOKUP($E53,CTPit!$E$10:$AW$75,BJ$9,FALSE)-R53)</f>
        <v>0</v>
      </c>
      <c r="BK53" s="91">
        <f>IF(S53="-","-",VLOOKUP($E53,CTPit!$E$10:$AW$75,BK$9,FALSE)-S53)</f>
        <v>0</v>
      </c>
      <c r="BL53" s="91">
        <f>IF(T53="-","-",VLOOKUP($E53,CTPit!$E$10:$AW$75,BL$9,FALSE)-T53)</f>
        <v>0</v>
      </c>
      <c r="BM53" s="91">
        <f>IF(U53="-","-",VLOOKUP($E53,CTPit!$E$10:$AW$75,BM$9,FALSE)-U53)</f>
        <v>0</v>
      </c>
      <c r="BN53" s="91">
        <f>IF(V53="-","-",VLOOKUP($E53,CTPit!$E$10:$AW$75,BN$9,FALSE)-V53)</f>
        <v>0</v>
      </c>
      <c r="BO53" s="91">
        <f>IF(W53="-","-",VLOOKUP($E53,CTPit!$E$10:$AW$75,BO$9,FALSE)-W53)</f>
        <v>0</v>
      </c>
      <c r="BP53" s="91">
        <f>IF(X53="-","-",VLOOKUP($E53,CTPit!$E$10:$AW$75,BP$9,FALSE)-X53)</f>
        <v>0</v>
      </c>
      <c r="BQ53" s="91" t="str">
        <f>IF(Y53="-","-",VLOOKUP($E53,CTPit!$E$10:$AW$75,BQ$9,FALSE)-Y53)</f>
        <v>-</v>
      </c>
      <c r="BR53" s="91" t="str">
        <f>IF(Z53="-","-",VLOOKUP($E53,CTPit!$E$10:$AW$75,BR$9,FALSE)-Z53)</f>
        <v>-</v>
      </c>
      <c r="BS53" s="91">
        <f>IF(AA53="-","-",VLOOKUP($E53,CTPit!$E$10:$AW$75,BS$9,FALSE)-AA53)</f>
        <v>0</v>
      </c>
      <c r="BT53" s="91">
        <f>IF(AB53="-","-",VLOOKUP($E53,CTPit!$E$10:$AW$75,BT$9,FALSE)-AB53)</f>
        <v>0</v>
      </c>
      <c r="BU53" s="91" t="str">
        <f>IF(AC53="-","-",VLOOKUP($E53,CTPit!$E$10:$AW$75,BU$9,FALSE)-AC53)</f>
        <v>-</v>
      </c>
      <c r="BV53" s="91" t="str">
        <f>IF(AD53="-","-",VLOOKUP($E53,CTPit!$E$10:$AW$75,BV$9,FALSE)-AD53)</f>
        <v>-</v>
      </c>
      <c r="BW53" s="91" t="str">
        <f>IF(AE53="-","-",VLOOKUP($E53,CTPit!$E$10:$AW$75,BW$9,FALSE)-AE53)</f>
        <v>-</v>
      </c>
      <c r="BX53" s="91" t="str">
        <f>IF(AF53="-","-",VLOOKUP($E53,CTPit!$E$10:$AW$75,BX$9,FALSE)-AF53)</f>
        <v>-</v>
      </c>
      <c r="BY53" s="91" t="str">
        <f>IF(AG53="-","-",VLOOKUP($E53,CTPit!$E$10:$AW$75,BY$9,FALSE)-AG53)</f>
        <v>-</v>
      </c>
      <c r="BZ53" s="91" t="str">
        <f>IF(AH53="-","-",VLOOKUP($E53,CTPit!$E$10:$AW$75,BZ$9,FALSE)-AH53)</f>
        <v>-</v>
      </c>
      <c r="CA53" s="91" t="str">
        <f>IF(AI53="-","-",VLOOKUP($E53,CTPit!$E$10:$AW$75,CA$9,FALSE)-AI53)</f>
        <v>-</v>
      </c>
      <c r="CB53" s="91" t="str">
        <f>IF(AJ53="-","-",VLOOKUP($E53,CTPit!$E$10:$AW$75,CB$9,FALSE)-AJ53)</f>
        <v>-</v>
      </c>
      <c r="CC53" s="91" t="str">
        <f>IF(AK53="-","-",VLOOKUP($E53,CTPit!$E$10:$AW$75,CC$9,FALSE)-AK53)</f>
        <v>-</v>
      </c>
      <c r="CD53" s="91" t="str">
        <f>IF(AL53="-","-",VLOOKUP($E53,CTPit!$E$10:$AW$75,CD$9,FALSE)-AL53)</f>
        <v>-</v>
      </c>
      <c r="CE53" s="91" t="str">
        <f>IF(AM53="-","-",VLOOKUP($E53,CTPit!$E$10:$AW$75,CE$9,FALSE)-AM53)</f>
        <v>-</v>
      </c>
      <c r="CF53" s="91" t="str">
        <f>IF(AN53="-","-",VLOOKUP($E53,CTPit!$E$10:$AW$75,CF$9,FALSE)-AN53)</f>
        <v>-</v>
      </c>
      <c r="CG53" s="91" t="str">
        <f>IF(AO53="-","-",VLOOKUP($E53,CTPit!$E$10:$AW$75,CG$9,FALSE)-AO53)</f>
        <v>-</v>
      </c>
      <c r="CH53" s="91" t="str">
        <f>IF(AP53="-","-",VLOOKUP($E53,CTPit!$E$10:$AW$75,CH$9,FALSE)-AP53)</f>
        <v>-</v>
      </c>
      <c r="CI53" s="91" t="str">
        <f>IF(AQ53="-","-",VLOOKUP($E53,CTPit!$E$10:$AW$75,CI$9,FALSE)-AQ53)</f>
        <v>-</v>
      </c>
      <c r="CJ53" s="91" t="str">
        <f>IF(AR53="-","-",VLOOKUP($E53,CTPit!$E$10:$AW$75,CJ$9,FALSE)-AR53)</f>
        <v>-</v>
      </c>
      <c r="CK53">
        <f t="shared" si="26"/>
        <v>0</v>
      </c>
    </row>
    <row r="54" spans="3:89">
      <c r="C54" t="str">
        <f t="shared" si="16"/>
        <v>K</v>
      </c>
      <c r="D54" t="s">
        <v>111</v>
      </c>
      <c r="E54" t="s">
        <v>452</v>
      </c>
      <c r="F54" t="s">
        <v>25</v>
      </c>
      <c r="G54" t="s">
        <v>212</v>
      </c>
      <c r="H54">
        <v>23</v>
      </c>
      <c r="I54" t="s">
        <v>106</v>
      </c>
      <c r="J54" s="220" t="s">
        <v>106</v>
      </c>
      <c r="K54" t="s">
        <v>42</v>
      </c>
      <c r="L54" t="s">
        <v>42</v>
      </c>
      <c r="M54" t="s">
        <v>231</v>
      </c>
      <c r="N54" s="220" t="s">
        <v>230</v>
      </c>
      <c r="O54">
        <v>7</v>
      </c>
      <c r="P54">
        <v>5</v>
      </c>
      <c r="Q54" s="220">
        <v>3</v>
      </c>
      <c r="R54">
        <v>7</v>
      </c>
      <c r="S54">
        <v>5</v>
      </c>
      <c r="T54" s="220">
        <v>5</v>
      </c>
      <c r="U54">
        <v>7</v>
      </c>
      <c r="V54">
        <v>7</v>
      </c>
      <c r="W54">
        <v>9</v>
      </c>
      <c r="X54">
        <v>9</v>
      </c>
      <c r="Y54" t="s">
        <v>41</v>
      </c>
      <c r="Z54" t="s">
        <v>41</v>
      </c>
      <c r="AA54">
        <v>8</v>
      </c>
      <c r="AB54">
        <v>8</v>
      </c>
      <c r="AC54" t="s">
        <v>41</v>
      </c>
      <c r="AD54" t="s">
        <v>41</v>
      </c>
      <c r="AE54" t="s">
        <v>41</v>
      </c>
      <c r="AF54" t="s">
        <v>41</v>
      </c>
      <c r="AG54" t="s">
        <v>41</v>
      </c>
      <c r="AH54" t="s">
        <v>41</v>
      </c>
      <c r="AI54" t="s">
        <v>41</v>
      </c>
      <c r="AJ54" t="s">
        <v>41</v>
      </c>
      <c r="AK54" t="s">
        <v>41</v>
      </c>
      <c r="AL54" t="s">
        <v>41</v>
      </c>
      <c r="AM54" t="s">
        <v>41</v>
      </c>
      <c r="AN54" t="s">
        <v>41</v>
      </c>
      <c r="AO54" t="s">
        <v>41</v>
      </c>
      <c r="AP54" t="s">
        <v>41</v>
      </c>
      <c r="AQ54" t="s">
        <v>41</v>
      </c>
      <c r="AR54" s="220" t="s">
        <v>41</v>
      </c>
      <c r="AS54" t="s">
        <v>3</v>
      </c>
      <c r="AT54">
        <v>10</v>
      </c>
      <c r="AU54" s="11">
        <v>0.41</v>
      </c>
      <c r="AV54" s="85">
        <v>490000</v>
      </c>
      <c r="AW54" s="220" t="s">
        <v>45</v>
      </c>
      <c r="AX54" s="6">
        <f t="shared" si="17"/>
        <v>5.25</v>
      </c>
      <c r="AY54" s="9" t="str">
        <f t="shared" si="18"/>
        <v>Reg</v>
      </c>
      <c r="AZ54" s="9">
        <f t="shared" si="19"/>
        <v>5.916666666666667</v>
      </c>
      <c r="BA54" s="9" t="str">
        <f t="shared" si="20"/>
        <v>Reg</v>
      </c>
      <c r="BB54" s="9">
        <f t="shared" si="21"/>
        <v>5.916666666666667</v>
      </c>
      <c r="BC54" s="9" t="str">
        <f t="shared" si="22"/>
        <v>Reg</v>
      </c>
      <c r="BD54" s="84">
        <f t="shared" si="23"/>
        <v>3</v>
      </c>
      <c r="BE54" s="83">
        <f t="shared" si="24"/>
        <v>3</v>
      </c>
      <c r="BF54" t="str">
        <f t="shared" si="25"/>
        <v/>
      </c>
      <c r="BG54" s="91">
        <f>IF(O54="-","-",VLOOKUP($E54,CTPit!$E$10:$AW$75,BG$9,FALSE)-O54)</f>
        <v>0</v>
      </c>
      <c r="BH54" s="91">
        <f>IF(P54="-","-",VLOOKUP($E54,CTPit!$E$10:$AW$75,BH$9,FALSE)-P54)</f>
        <v>0</v>
      </c>
      <c r="BI54" s="91">
        <f>IF(Q54="-","-",VLOOKUP($E54,CTPit!$E$10:$AW$75,BI$9,FALSE)-Q54)</f>
        <v>0</v>
      </c>
      <c r="BJ54" s="91">
        <f>IF(R54="-","-",VLOOKUP($E54,CTPit!$E$10:$AW$75,BJ$9,FALSE)-R54)</f>
        <v>0</v>
      </c>
      <c r="BK54" s="91">
        <f>IF(S54="-","-",VLOOKUP($E54,CTPit!$E$10:$AW$75,BK$9,FALSE)-S54)</f>
        <v>0</v>
      </c>
      <c r="BL54" s="91">
        <f>IF(T54="-","-",VLOOKUP($E54,CTPit!$E$10:$AW$75,BL$9,FALSE)-T54)</f>
        <v>0</v>
      </c>
      <c r="BM54" s="91">
        <f>IF(U54="-","-",VLOOKUP($E54,CTPit!$E$10:$AW$75,BM$9,FALSE)-U54)</f>
        <v>0</v>
      </c>
      <c r="BN54" s="91">
        <f>IF(V54="-","-",VLOOKUP($E54,CTPit!$E$10:$AW$75,BN$9,FALSE)-V54)</f>
        <v>0</v>
      </c>
      <c r="BO54" s="91">
        <f>IF(W54="-","-",VLOOKUP($E54,CTPit!$E$10:$AW$75,BO$9,FALSE)-W54)</f>
        <v>0</v>
      </c>
      <c r="BP54" s="91">
        <f>IF(X54="-","-",VLOOKUP($E54,CTPit!$E$10:$AW$75,BP$9,FALSE)-X54)</f>
        <v>0</v>
      </c>
      <c r="BQ54" s="91" t="str">
        <f>IF(Y54="-","-",VLOOKUP($E54,CTPit!$E$10:$AW$75,BQ$9,FALSE)-Y54)</f>
        <v>-</v>
      </c>
      <c r="BR54" s="91" t="str">
        <f>IF(Z54="-","-",VLOOKUP($E54,CTPit!$E$10:$AW$75,BR$9,FALSE)-Z54)</f>
        <v>-</v>
      </c>
      <c r="BS54" s="91">
        <f>IF(AA54="-","-",VLOOKUP($E54,CTPit!$E$10:$AW$75,BS$9,FALSE)-AA54)</f>
        <v>0</v>
      </c>
      <c r="BT54" s="91">
        <f>IF(AB54="-","-",VLOOKUP($E54,CTPit!$E$10:$AW$75,BT$9,FALSE)-AB54)</f>
        <v>0</v>
      </c>
      <c r="BU54" s="91" t="str">
        <f>IF(AC54="-","-",VLOOKUP($E54,CTPit!$E$10:$AW$75,BU$9,FALSE)-AC54)</f>
        <v>-</v>
      </c>
      <c r="BV54" s="91" t="str">
        <f>IF(AD54="-","-",VLOOKUP($E54,CTPit!$E$10:$AW$75,BV$9,FALSE)-AD54)</f>
        <v>-</v>
      </c>
      <c r="BW54" s="91" t="str">
        <f>IF(AE54="-","-",VLOOKUP($E54,CTPit!$E$10:$AW$75,BW$9,FALSE)-AE54)</f>
        <v>-</v>
      </c>
      <c r="BX54" s="91" t="str">
        <f>IF(AF54="-","-",VLOOKUP($E54,CTPit!$E$10:$AW$75,BX$9,FALSE)-AF54)</f>
        <v>-</v>
      </c>
      <c r="BY54" s="91" t="str">
        <f>IF(AG54="-","-",VLOOKUP($E54,CTPit!$E$10:$AW$75,BY$9,FALSE)-AG54)</f>
        <v>-</v>
      </c>
      <c r="BZ54" s="91" t="str">
        <f>IF(AH54="-","-",VLOOKUP($E54,CTPit!$E$10:$AW$75,BZ$9,FALSE)-AH54)</f>
        <v>-</v>
      </c>
      <c r="CA54" s="91" t="str">
        <f>IF(AI54="-","-",VLOOKUP($E54,CTPit!$E$10:$AW$75,CA$9,FALSE)-AI54)</f>
        <v>-</v>
      </c>
      <c r="CB54" s="91" t="str">
        <f>IF(AJ54="-","-",VLOOKUP($E54,CTPit!$E$10:$AW$75,CB$9,FALSE)-AJ54)</f>
        <v>-</v>
      </c>
      <c r="CC54" s="91" t="str">
        <f>IF(AK54="-","-",VLOOKUP($E54,CTPit!$E$10:$AW$75,CC$9,FALSE)-AK54)</f>
        <v>-</v>
      </c>
      <c r="CD54" s="91" t="str">
        <f>IF(AL54="-","-",VLOOKUP($E54,CTPit!$E$10:$AW$75,CD$9,FALSE)-AL54)</f>
        <v>-</v>
      </c>
      <c r="CE54" s="91" t="str">
        <f>IF(AM54="-","-",VLOOKUP($E54,CTPit!$E$10:$AW$75,CE$9,FALSE)-AM54)</f>
        <v>-</v>
      </c>
      <c r="CF54" s="91" t="str">
        <f>IF(AN54="-","-",VLOOKUP($E54,CTPit!$E$10:$AW$75,CF$9,FALSE)-AN54)</f>
        <v>-</v>
      </c>
      <c r="CG54" s="91" t="str">
        <f>IF(AO54="-","-",VLOOKUP($E54,CTPit!$E$10:$AW$75,CG$9,FALSE)-AO54)</f>
        <v>-</v>
      </c>
      <c r="CH54" s="91" t="str">
        <f>IF(AP54="-","-",VLOOKUP($E54,CTPit!$E$10:$AW$75,CH$9,FALSE)-AP54)</f>
        <v>-</v>
      </c>
      <c r="CI54" s="91" t="str">
        <f>IF(AQ54="-","-",VLOOKUP($E54,CTPit!$E$10:$AW$75,CI$9,FALSE)-AQ54)</f>
        <v>-</v>
      </c>
      <c r="CJ54" s="91" t="str">
        <f>IF(AR54="-","-",VLOOKUP($E54,CTPit!$E$10:$AW$75,CJ$9,FALSE)-AR54)</f>
        <v>-</v>
      </c>
      <c r="CK54">
        <f t="shared" si="26"/>
        <v>0</v>
      </c>
    </row>
    <row r="55" spans="3:89">
      <c r="C55" t="str">
        <f t="shared" si="16"/>
        <v>K</v>
      </c>
      <c r="D55" t="s">
        <v>110</v>
      </c>
      <c r="E55" t="s">
        <v>10</v>
      </c>
      <c r="F55" t="s">
        <v>384</v>
      </c>
      <c r="G55" t="s">
        <v>213</v>
      </c>
      <c r="H55">
        <v>24</v>
      </c>
      <c r="I55" t="s">
        <v>106</v>
      </c>
      <c r="J55" s="220" t="s">
        <v>106</v>
      </c>
      <c r="K55" t="s">
        <v>42</v>
      </c>
      <c r="L55" t="s">
        <v>42</v>
      </c>
      <c r="M55" t="s">
        <v>232</v>
      </c>
      <c r="N55" s="220" t="s">
        <v>229</v>
      </c>
      <c r="O55">
        <v>5</v>
      </c>
      <c r="P55">
        <v>6</v>
      </c>
      <c r="Q55" s="220">
        <v>4</v>
      </c>
      <c r="R55">
        <v>5</v>
      </c>
      <c r="S55">
        <v>6</v>
      </c>
      <c r="T55" s="220">
        <v>6</v>
      </c>
      <c r="U55">
        <v>6</v>
      </c>
      <c r="V55">
        <v>6</v>
      </c>
      <c r="W55">
        <v>5</v>
      </c>
      <c r="X55">
        <v>5</v>
      </c>
      <c r="Y55" t="s">
        <v>41</v>
      </c>
      <c r="Z55" t="s">
        <v>41</v>
      </c>
      <c r="AA55" t="s">
        <v>41</v>
      </c>
      <c r="AB55" t="s">
        <v>41</v>
      </c>
      <c r="AC55" t="s">
        <v>41</v>
      </c>
      <c r="AD55" t="s">
        <v>41</v>
      </c>
      <c r="AE55" t="s">
        <v>41</v>
      </c>
      <c r="AF55" t="s">
        <v>41</v>
      </c>
      <c r="AG55" t="s">
        <v>41</v>
      </c>
      <c r="AH55" t="s">
        <v>41</v>
      </c>
      <c r="AI55" t="s">
        <v>41</v>
      </c>
      <c r="AJ55" t="s">
        <v>41</v>
      </c>
      <c r="AK55" t="s">
        <v>41</v>
      </c>
      <c r="AL55" t="s">
        <v>41</v>
      </c>
      <c r="AM55" t="s">
        <v>41</v>
      </c>
      <c r="AN55" t="s">
        <v>41</v>
      </c>
      <c r="AO55" t="s">
        <v>41</v>
      </c>
      <c r="AP55" t="s">
        <v>41</v>
      </c>
      <c r="AQ55" t="s">
        <v>41</v>
      </c>
      <c r="AR55" s="220" t="s">
        <v>41</v>
      </c>
      <c r="AS55" t="s">
        <v>11</v>
      </c>
      <c r="AT55">
        <v>3</v>
      </c>
      <c r="AU55" s="11">
        <v>0.53</v>
      </c>
      <c r="AV55" s="85" t="s">
        <v>41</v>
      </c>
      <c r="AW55" s="220">
        <v>0</v>
      </c>
      <c r="AX55" s="6">
        <f t="shared" si="17"/>
        <v>5.25</v>
      </c>
      <c r="AY55" s="9" t="str">
        <f t="shared" si="18"/>
        <v>Reg</v>
      </c>
      <c r="AZ55" s="9">
        <f t="shared" si="19"/>
        <v>5.916666666666667</v>
      </c>
      <c r="BA55" s="9" t="str">
        <f t="shared" si="20"/>
        <v>Reg</v>
      </c>
      <c r="BB55" s="9">
        <f t="shared" si="21"/>
        <v>5.916666666666667</v>
      </c>
      <c r="BC55" s="9" t="str">
        <f t="shared" si="22"/>
        <v>Reg</v>
      </c>
      <c r="BD55" s="84">
        <f t="shared" si="23"/>
        <v>2</v>
      </c>
      <c r="BE55" s="83">
        <f t="shared" si="24"/>
        <v>1</v>
      </c>
      <c r="BF55" t="str">
        <f t="shared" si="25"/>
        <v/>
      </c>
      <c r="BG55" s="91">
        <f>IF(O55="-","-",VLOOKUP($E55,CTPit!$E$10:$AW$75,BG$9,FALSE)-O55)</f>
        <v>0</v>
      </c>
      <c r="BH55" s="91">
        <f>IF(P55="-","-",VLOOKUP($E55,CTPit!$E$10:$AW$75,BH$9,FALSE)-P55)</f>
        <v>0</v>
      </c>
      <c r="BI55" s="91">
        <f>IF(Q55="-","-",VLOOKUP($E55,CTPit!$E$10:$AW$75,BI$9,FALSE)-Q55)</f>
        <v>0</v>
      </c>
      <c r="BJ55" s="91">
        <f>IF(R55="-","-",VLOOKUP($E55,CTPit!$E$10:$AW$75,BJ$9,FALSE)-R55)</f>
        <v>0</v>
      </c>
      <c r="BK55" s="91">
        <f>IF(S55="-","-",VLOOKUP($E55,CTPit!$E$10:$AW$75,BK$9,FALSE)-S55)</f>
        <v>0</v>
      </c>
      <c r="BL55" s="91">
        <f>IF(T55="-","-",VLOOKUP($E55,CTPit!$E$10:$AW$75,BL$9,FALSE)-T55)</f>
        <v>0</v>
      </c>
      <c r="BM55" s="91">
        <f>IF(U55="-","-",VLOOKUP($E55,CTPit!$E$10:$AW$75,BM$9,FALSE)-U55)</f>
        <v>0</v>
      </c>
      <c r="BN55" s="91">
        <f>IF(V55="-","-",VLOOKUP($E55,CTPit!$E$10:$AW$75,BN$9,FALSE)-V55)</f>
        <v>0</v>
      </c>
      <c r="BO55" s="91">
        <f>IF(W55="-","-",VLOOKUP($E55,CTPit!$E$10:$AW$75,BO$9,FALSE)-W55)</f>
        <v>0</v>
      </c>
      <c r="BP55" s="91">
        <f>IF(X55="-","-",VLOOKUP($E55,CTPit!$E$10:$AW$75,BP$9,FALSE)-X55)</f>
        <v>0</v>
      </c>
      <c r="BQ55" s="91" t="str">
        <f>IF(Y55="-","-",VLOOKUP($E55,CTPit!$E$10:$AW$75,BQ$9,FALSE)-Y55)</f>
        <v>-</v>
      </c>
      <c r="BR55" s="91" t="str">
        <f>IF(Z55="-","-",VLOOKUP($E55,CTPit!$E$10:$AW$75,BR$9,FALSE)-Z55)</f>
        <v>-</v>
      </c>
      <c r="BS55" s="91" t="str">
        <f>IF(AA55="-","-",VLOOKUP($E55,CTPit!$E$10:$AW$75,BS$9,FALSE)-AA55)</f>
        <v>-</v>
      </c>
      <c r="BT55" s="91" t="str">
        <f>IF(AB55="-","-",VLOOKUP($E55,CTPit!$E$10:$AW$75,BT$9,FALSE)-AB55)</f>
        <v>-</v>
      </c>
      <c r="BU55" s="91" t="str">
        <f>IF(AC55="-","-",VLOOKUP($E55,CTPit!$E$10:$AW$75,BU$9,FALSE)-AC55)</f>
        <v>-</v>
      </c>
      <c r="BV55" s="91" t="str">
        <f>IF(AD55="-","-",VLOOKUP($E55,CTPit!$E$10:$AW$75,BV$9,FALSE)-AD55)</f>
        <v>-</v>
      </c>
      <c r="BW55" s="91" t="str">
        <f>IF(AE55="-","-",VLOOKUP($E55,CTPit!$E$10:$AW$75,BW$9,FALSE)-AE55)</f>
        <v>-</v>
      </c>
      <c r="BX55" s="91" t="str">
        <f>IF(AF55="-","-",VLOOKUP($E55,CTPit!$E$10:$AW$75,BX$9,FALSE)-AF55)</f>
        <v>-</v>
      </c>
      <c r="BY55" s="91" t="str">
        <f>IF(AG55="-","-",VLOOKUP($E55,CTPit!$E$10:$AW$75,BY$9,FALSE)-AG55)</f>
        <v>-</v>
      </c>
      <c r="BZ55" s="91" t="str">
        <f>IF(AH55="-","-",VLOOKUP($E55,CTPit!$E$10:$AW$75,BZ$9,FALSE)-AH55)</f>
        <v>-</v>
      </c>
      <c r="CA55" s="91" t="str">
        <f>IF(AI55="-","-",VLOOKUP($E55,CTPit!$E$10:$AW$75,CA$9,FALSE)-AI55)</f>
        <v>-</v>
      </c>
      <c r="CB55" s="91" t="str">
        <f>IF(AJ55="-","-",VLOOKUP($E55,CTPit!$E$10:$AW$75,CB$9,FALSE)-AJ55)</f>
        <v>-</v>
      </c>
      <c r="CC55" s="91" t="str">
        <f>IF(AK55="-","-",VLOOKUP($E55,CTPit!$E$10:$AW$75,CC$9,FALSE)-AK55)</f>
        <v>-</v>
      </c>
      <c r="CD55" s="91" t="str">
        <f>IF(AL55="-","-",VLOOKUP($E55,CTPit!$E$10:$AW$75,CD$9,FALSE)-AL55)</f>
        <v>-</v>
      </c>
      <c r="CE55" s="91" t="str">
        <f>IF(AM55="-","-",VLOOKUP($E55,CTPit!$E$10:$AW$75,CE$9,FALSE)-AM55)</f>
        <v>-</v>
      </c>
      <c r="CF55" s="91" t="str">
        <f>IF(AN55="-","-",VLOOKUP($E55,CTPit!$E$10:$AW$75,CF$9,FALSE)-AN55)</f>
        <v>-</v>
      </c>
      <c r="CG55" s="91" t="str">
        <f>IF(AO55="-","-",VLOOKUP($E55,CTPit!$E$10:$AW$75,CG$9,FALSE)-AO55)</f>
        <v>-</v>
      </c>
      <c r="CH55" s="91" t="str">
        <f>IF(AP55="-","-",VLOOKUP($E55,CTPit!$E$10:$AW$75,CH$9,FALSE)-AP55)</f>
        <v>-</v>
      </c>
      <c r="CI55" s="91" t="str">
        <f>IF(AQ55="-","-",VLOOKUP($E55,CTPit!$E$10:$AW$75,CI$9,FALSE)-AQ55)</f>
        <v>-</v>
      </c>
      <c r="CJ55" s="91" t="str">
        <f>IF(AR55="-","-",VLOOKUP($E55,CTPit!$E$10:$AW$75,CJ$9,FALSE)-AR55)</f>
        <v>-</v>
      </c>
      <c r="CK55">
        <f t="shared" si="26"/>
        <v>0</v>
      </c>
    </row>
    <row r="56" spans="3:89">
      <c r="C56" t="str">
        <f t="shared" si="16"/>
        <v>K</v>
      </c>
      <c r="D56" t="s">
        <v>112</v>
      </c>
      <c r="E56" t="s">
        <v>421</v>
      </c>
      <c r="F56" t="s">
        <v>385</v>
      </c>
      <c r="G56" t="s">
        <v>214</v>
      </c>
      <c r="H56">
        <v>22</v>
      </c>
      <c r="I56" t="s">
        <v>106</v>
      </c>
      <c r="J56" s="220" t="s">
        <v>106</v>
      </c>
      <c r="K56" t="s">
        <v>47</v>
      </c>
      <c r="L56" t="s">
        <v>42</v>
      </c>
      <c r="M56" t="s">
        <v>231</v>
      </c>
      <c r="N56" s="220" t="s">
        <v>231</v>
      </c>
      <c r="O56">
        <v>6</v>
      </c>
      <c r="P56">
        <v>4</v>
      </c>
      <c r="Q56" s="220">
        <v>4</v>
      </c>
      <c r="R56">
        <v>6</v>
      </c>
      <c r="S56">
        <v>4</v>
      </c>
      <c r="T56" s="220">
        <v>5</v>
      </c>
      <c r="U56">
        <v>6</v>
      </c>
      <c r="V56">
        <v>6</v>
      </c>
      <c r="W56">
        <v>7</v>
      </c>
      <c r="X56">
        <v>7</v>
      </c>
      <c r="Y56">
        <v>6</v>
      </c>
      <c r="Z56">
        <v>6</v>
      </c>
      <c r="AA56" t="s">
        <v>41</v>
      </c>
      <c r="AB56" t="s">
        <v>41</v>
      </c>
      <c r="AC56">
        <v>5</v>
      </c>
      <c r="AD56">
        <v>5</v>
      </c>
      <c r="AE56" t="s">
        <v>41</v>
      </c>
      <c r="AF56" t="s">
        <v>41</v>
      </c>
      <c r="AG56" t="s">
        <v>41</v>
      </c>
      <c r="AH56" t="s">
        <v>41</v>
      </c>
      <c r="AI56" t="s">
        <v>41</v>
      </c>
      <c r="AJ56" t="s">
        <v>41</v>
      </c>
      <c r="AK56" t="s">
        <v>41</v>
      </c>
      <c r="AL56" t="s">
        <v>41</v>
      </c>
      <c r="AM56" t="s">
        <v>41</v>
      </c>
      <c r="AN56" t="s">
        <v>41</v>
      </c>
      <c r="AO56" t="s">
        <v>41</v>
      </c>
      <c r="AP56" t="s">
        <v>41</v>
      </c>
      <c r="AQ56" t="s">
        <v>41</v>
      </c>
      <c r="AR56" s="220" t="s">
        <v>41</v>
      </c>
      <c r="AS56" t="s">
        <v>15</v>
      </c>
      <c r="AT56">
        <v>9</v>
      </c>
      <c r="AU56" s="11">
        <v>0.5</v>
      </c>
      <c r="AV56" s="85" t="s">
        <v>41</v>
      </c>
      <c r="AW56" s="220">
        <v>0</v>
      </c>
      <c r="AX56" s="6">
        <f t="shared" si="17"/>
        <v>5.166666666666667</v>
      </c>
      <c r="AY56" s="9" t="str">
        <f t="shared" si="18"/>
        <v>Reg</v>
      </c>
      <c r="AZ56" s="9">
        <f t="shared" si="19"/>
        <v>5.5</v>
      </c>
      <c r="BA56" s="9" t="str">
        <f t="shared" si="20"/>
        <v>Reg</v>
      </c>
      <c r="BB56" s="9">
        <f t="shared" si="21"/>
        <v>5.5</v>
      </c>
      <c r="BC56" s="9" t="str">
        <f t="shared" si="22"/>
        <v>Reg</v>
      </c>
      <c r="BD56" s="84">
        <f t="shared" si="23"/>
        <v>4</v>
      </c>
      <c r="BE56" s="83">
        <f t="shared" si="24"/>
        <v>3</v>
      </c>
      <c r="BF56" t="str">
        <f t="shared" si="25"/>
        <v/>
      </c>
      <c r="BG56" s="91">
        <f>IF(O56="-","-",VLOOKUP($E56,CTPit!$E$10:$AW$75,BG$9,FALSE)-O56)</f>
        <v>0</v>
      </c>
      <c r="BH56" s="91">
        <f>IF(P56="-","-",VLOOKUP($E56,CTPit!$E$10:$AW$75,BH$9,FALSE)-P56)</f>
        <v>0</v>
      </c>
      <c r="BI56" s="91">
        <f>IF(Q56="-","-",VLOOKUP($E56,CTPit!$E$10:$AW$75,BI$9,FALSE)-Q56)</f>
        <v>0</v>
      </c>
      <c r="BJ56" s="91">
        <f>IF(R56="-","-",VLOOKUP($E56,CTPit!$E$10:$AW$75,BJ$9,FALSE)-R56)</f>
        <v>0</v>
      </c>
      <c r="BK56" s="91">
        <f>IF(S56="-","-",VLOOKUP($E56,CTPit!$E$10:$AW$75,BK$9,FALSE)-S56)</f>
        <v>0</v>
      </c>
      <c r="BL56" s="91">
        <f>IF(T56="-","-",VLOOKUP($E56,CTPit!$E$10:$AW$75,BL$9,FALSE)-T56)</f>
        <v>0</v>
      </c>
      <c r="BM56" s="91">
        <f>IF(U56="-","-",VLOOKUP($E56,CTPit!$E$10:$AW$75,BM$9,FALSE)-U56)</f>
        <v>0</v>
      </c>
      <c r="BN56" s="91">
        <f>IF(V56="-","-",VLOOKUP($E56,CTPit!$E$10:$AW$75,BN$9,FALSE)-V56)</f>
        <v>0</v>
      </c>
      <c r="BO56" s="91">
        <f>IF(W56="-","-",VLOOKUP($E56,CTPit!$E$10:$AW$75,BO$9,FALSE)-W56)</f>
        <v>0</v>
      </c>
      <c r="BP56" s="91">
        <f>IF(X56="-","-",VLOOKUP($E56,CTPit!$E$10:$AW$75,BP$9,FALSE)-X56)</f>
        <v>0</v>
      </c>
      <c r="BQ56" s="91">
        <f>IF(Y56="-","-",VLOOKUP($E56,CTPit!$E$10:$AW$75,BQ$9,FALSE)-Y56)</f>
        <v>0</v>
      </c>
      <c r="BR56" s="91">
        <f>IF(Z56="-","-",VLOOKUP($E56,CTPit!$E$10:$AW$75,BR$9,FALSE)-Z56)</f>
        <v>0</v>
      </c>
      <c r="BS56" s="91" t="str">
        <f>IF(AA56="-","-",VLOOKUP($E56,CTPit!$E$10:$AW$75,BS$9,FALSE)-AA56)</f>
        <v>-</v>
      </c>
      <c r="BT56" s="91" t="str">
        <f>IF(AB56="-","-",VLOOKUP($E56,CTPit!$E$10:$AW$75,BT$9,FALSE)-AB56)</f>
        <v>-</v>
      </c>
      <c r="BU56" s="91">
        <f>IF(AC56="-","-",VLOOKUP($E56,CTPit!$E$10:$AW$75,BU$9,FALSE)-AC56)</f>
        <v>0</v>
      </c>
      <c r="BV56" s="91">
        <f>IF(AD56="-","-",VLOOKUP($E56,CTPit!$E$10:$AW$75,BV$9,FALSE)-AD56)</f>
        <v>0</v>
      </c>
      <c r="BW56" s="91" t="str">
        <f>IF(AE56="-","-",VLOOKUP($E56,CTPit!$E$10:$AW$75,BW$9,FALSE)-AE56)</f>
        <v>-</v>
      </c>
      <c r="BX56" s="91" t="str">
        <f>IF(AF56="-","-",VLOOKUP($E56,CTPit!$E$10:$AW$75,BX$9,FALSE)-AF56)</f>
        <v>-</v>
      </c>
      <c r="BY56" s="91" t="str">
        <f>IF(AG56="-","-",VLOOKUP($E56,CTPit!$E$10:$AW$75,BY$9,FALSE)-AG56)</f>
        <v>-</v>
      </c>
      <c r="BZ56" s="91" t="str">
        <f>IF(AH56="-","-",VLOOKUP($E56,CTPit!$E$10:$AW$75,BZ$9,FALSE)-AH56)</f>
        <v>-</v>
      </c>
      <c r="CA56" s="91" t="str">
        <f>IF(AI56="-","-",VLOOKUP($E56,CTPit!$E$10:$AW$75,CA$9,FALSE)-AI56)</f>
        <v>-</v>
      </c>
      <c r="CB56" s="91" t="str">
        <f>IF(AJ56="-","-",VLOOKUP($E56,CTPit!$E$10:$AW$75,CB$9,FALSE)-AJ56)</f>
        <v>-</v>
      </c>
      <c r="CC56" s="91" t="str">
        <f>IF(AK56="-","-",VLOOKUP($E56,CTPit!$E$10:$AW$75,CC$9,FALSE)-AK56)</f>
        <v>-</v>
      </c>
      <c r="CD56" s="91" t="str">
        <f>IF(AL56="-","-",VLOOKUP($E56,CTPit!$E$10:$AW$75,CD$9,FALSE)-AL56)</f>
        <v>-</v>
      </c>
      <c r="CE56" s="91" t="str">
        <f>IF(AM56="-","-",VLOOKUP($E56,CTPit!$E$10:$AW$75,CE$9,FALSE)-AM56)</f>
        <v>-</v>
      </c>
      <c r="CF56" s="91" t="str">
        <f>IF(AN56="-","-",VLOOKUP($E56,CTPit!$E$10:$AW$75,CF$9,FALSE)-AN56)</f>
        <v>-</v>
      </c>
      <c r="CG56" s="91" t="str">
        <f>IF(AO56="-","-",VLOOKUP($E56,CTPit!$E$10:$AW$75,CG$9,FALSE)-AO56)</f>
        <v>-</v>
      </c>
      <c r="CH56" s="91" t="str">
        <f>IF(AP56="-","-",VLOOKUP($E56,CTPit!$E$10:$AW$75,CH$9,FALSE)-AP56)</f>
        <v>-</v>
      </c>
      <c r="CI56" s="91" t="str">
        <f>IF(AQ56="-","-",VLOOKUP($E56,CTPit!$E$10:$AW$75,CI$9,FALSE)-AQ56)</f>
        <v>-</v>
      </c>
      <c r="CJ56" s="91" t="str">
        <f>IF(AR56="-","-",VLOOKUP($E56,CTPit!$E$10:$AW$75,CJ$9,FALSE)-AR56)</f>
        <v>-</v>
      </c>
      <c r="CK56">
        <f t="shared" si="26"/>
        <v>0</v>
      </c>
    </row>
    <row r="57" spans="3:89">
      <c r="C57" t="str">
        <f t="shared" si="16"/>
        <v>K</v>
      </c>
      <c r="D57" t="s">
        <v>110</v>
      </c>
      <c r="E57" t="s">
        <v>458</v>
      </c>
      <c r="F57" t="s">
        <v>385</v>
      </c>
      <c r="G57" t="s">
        <v>214</v>
      </c>
      <c r="H57">
        <v>23</v>
      </c>
      <c r="I57" t="s">
        <v>107</v>
      </c>
      <c r="J57" s="220" t="s">
        <v>107</v>
      </c>
      <c r="K57" t="s">
        <v>47</v>
      </c>
      <c r="L57" t="s">
        <v>42</v>
      </c>
      <c r="M57" t="s">
        <v>228</v>
      </c>
      <c r="N57" s="220" t="s">
        <v>230</v>
      </c>
      <c r="O57">
        <v>5</v>
      </c>
      <c r="P57">
        <v>7</v>
      </c>
      <c r="Q57" s="220">
        <v>2</v>
      </c>
      <c r="R57">
        <v>5</v>
      </c>
      <c r="S57">
        <v>7</v>
      </c>
      <c r="T57" s="220">
        <v>4</v>
      </c>
      <c r="U57">
        <v>7</v>
      </c>
      <c r="V57">
        <v>7</v>
      </c>
      <c r="W57">
        <v>2</v>
      </c>
      <c r="X57">
        <v>4</v>
      </c>
      <c r="Y57" t="s">
        <v>41</v>
      </c>
      <c r="Z57" t="s">
        <v>41</v>
      </c>
      <c r="AA57" t="s">
        <v>41</v>
      </c>
      <c r="AB57" t="s">
        <v>41</v>
      </c>
      <c r="AC57" t="s">
        <v>41</v>
      </c>
      <c r="AD57" t="s">
        <v>41</v>
      </c>
      <c r="AE57" t="s">
        <v>41</v>
      </c>
      <c r="AF57" t="s">
        <v>41</v>
      </c>
      <c r="AG57" t="s">
        <v>41</v>
      </c>
      <c r="AH57" t="s">
        <v>41</v>
      </c>
      <c r="AI57" t="s">
        <v>41</v>
      </c>
      <c r="AJ57" t="s">
        <v>41</v>
      </c>
      <c r="AK57" t="s">
        <v>41</v>
      </c>
      <c r="AL57" t="s">
        <v>41</v>
      </c>
      <c r="AM57" t="s">
        <v>41</v>
      </c>
      <c r="AN57" t="s">
        <v>41</v>
      </c>
      <c r="AO57" t="s">
        <v>41</v>
      </c>
      <c r="AP57" t="s">
        <v>41</v>
      </c>
      <c r="AQ57" t="s">
        <v>41</v>
      </c>
      <c r="AR57" s="220" t="s">
        <v>41</v>
      </c>
      <c r="AS57" t="s">
        <v>252</v>
      </c>
      <c r="AT57">
        <v>1</v>
      </c>
      <c r="AU57" s="11">
        <v>0.63</v>
      </c>
      <c r="AV57" s="85" t="s">
        <v>41</v>
      </c>
      <c r="AW57" s="220" t="s">
        <v>45</v>
      </c>
      <c r="AX57" s="6">
        <f t="shared" si="17"/>
        <v>5.166666666666667</v>
      </c>
      <c r="AY57" s="9" t="str">
        <f t="shared" si="18"/>
        <v>Reg</v>
      </c>
      <c r="AZ57" s="9">
        <f t="shared" si="19"/>
        <v>5.833333333333333</v>
      </c>
      <c r="BA57" s="9" t="str">
        <f t="shared" si="20"/>
        <v>Reg</v>
      </c>
      <c r="BB57" s="9">
        <f t="shared" si="21"/>
        <v>5.833333333333333</v>
      </c>
      <c r="BC57" s="9" t="str">
        <f t="shared" si="22"/>
        <v>Reg</v>
      </c>
      <c r="BD57" s="84">
        <f t="shared" si="23"/>
        <v>2</v>
      </c>
      <c r="BE57" s="83">
        <f t="shared" si="24"/>
        <v>1</v>
      </c>
      <c r="BF57" t="str">
        <f t="shared" si="25"/>
        <v/>
      </c>
      <c r="BG57" s="91">
        <f>IF(O57="-","-",VLOOKUP($E57,CTPit!$E$10:$AW$75,BG$9,FALSE)-O57)</f>
        <v>0</v>
      </c>
      <c r="BH57" s="91">
        <f>IF(P57="-","-",VLOOKUP($E57,CTPit!$E$10:$AW$75,BH$9,FALSE)-P57)</f>
        <v>0</v>
      </c>
      <c r="BI57" s="91">
        <f>IF(Q57="-","-",VLOOKUP($E57,CTPit!$E$10:$AW$75,BI$9,FALSE)-Q57)</f>
        <v>0</v>
      </c>
      <c r="BJ57" s="91">
        <f>IF(R57="-","-",VLOOKUP($E57,CTPit!$E$10:$AW$75,BJ$9,FALSE)-R57)</f>
        <v>0</v>
      </c>
      <c r="BK57" s="91">
        <f>IF(S57="-","-",VLOOKUP($E57,CTPit!$E$10:$AW$75,BK$9,FALSE)-S57)</f>
        <v>0</v>
      </c>
      <c r="BL57" s="91">
        <f>IF(T57="-","-",VLOOKUP($E57,CTPit!$E$10:$AW$75,BL$9,FALSE)-T57)</f>
        <v>0</v>
      </c>
      <c r="BM57" s="91">
        <f>IF(U57="-","-",VLOOKUP($E57,CTPit!$E$10:$AW$75,BM$9,FALSE)-U57)</f>
        <v>0</v>
      </c>
      <c r="BN57" s="91">
        <f>IF(V57="-","-",VLOOKUP($E57,CTPit!$E$10:$AW$75,BN$9,FALSE)-V57)</f>
        <v>0</v>
      </c>
      <c r="BO57" s="91">
        <f>IF(W57="-","-",VLOOKUP($E57,CTPit!$E$10:$AW$75,BO$9,FALSE)-W57)</f>
        <v>0</v>
      </c>
      <c r="BP57" s="91">
        <f>IF(X57="-","-",VLOOKUP($E57,CTPit!$E$10:$AW$75,BP$9,FALSE)-X57)</f>
        <v>0</v>
      </c>
      <c r="BQ57" s="91" t="str">
        <f>IF(Y57="-","-",VLOOKUP($E57,CTPit!$E$10:$AW$75,BQ$9,FALSE)-Y57)</f>
        <v>-</v>
      </c>
      <c r="BR57" s="91" t="str">
        <f>IF(Z57="-","-",VLOOKUP($E57,CTPit!$E$10:$AW$75,BR$9,FALSE)-Z57)</f>
        <v>-</v>
      </c>
      <c r="BS57" s="91" t="str">
        <f>IF(AA57="-","-",VLOOKUP($E57,CTPit!$E$10:$AW$75,BS$9,FALSE)-AA57)</f>
        <v>-</v>
      </c>
      <c r="BT57" s="91" t="str">
        <f>IF(AB57="-","-",VLOOKUP($E57,CTPit!$E$10:$AW$75,BT$9,FALSE)-AB57)</f>
        <v>-</v>
      </c>
      <c r="BU57" s="91" t="str">
        <f>IF(AC57="-","-",VLOOKUP($E57,CTPit!$E$10:$AW$75,BU$9,FALSE)-AC57)</f>
        <v>-</v>
      </c>
      <c r="BV57" s="91" t="str">
        <f>IF(AD57="-","-",VLOOKUP($E57,CTPit!$E$10:$AW$75,BV$9,FALSE)-AD57)</f>
        <v>-</v>
      </c>
      <c r="BW57" s="91" t="str">
        <f>IF(AE57="-","-",VLOOKUP($E57,CTPit!$E$10:$AW$75,BW$9,FALSE)-AE57)</f>
        <v>-</v>
      </c>
      <c r="BX57" s="91" t="str">
        <f>IF(AF57="-","-",VLOOKUP($E57,CTPit!$E$10:$AW$75,BX$9,FALSE)-AF57)</f>
        <v>-</v>
      </c>
      <c r="BY57" s="91" t="str">
        <f>IF(AG57="-","-",VLOOKUP($E57,CTPit!$E$10:$AW$75,BY$9,FALSE)-AG57)</f>
        <v>-</v>
      </c>
      <c r="BZ57" s="91" t="str">
        <f>IF(AH57="-","-",VLOOKUP($E57,CTPit!$E$10:$AW$75,BZ$9,FALSE)-AH57)</f>
        <v>-</v>
      </c>
      <c r="CA57" s="91" t="str">
        <f>IF(AI57="-","-",VLOOKUP($E57,CTPit!$E$10:$AW$75,CA$9,FALSE)-AI57)</f>
        <v>-</v>
      </c>
      <c r="CB57" s="91" t="str">
        <f>IF(AJ57="-","-",VLOOKUP($E57,CTPit!$E$10:$AW$75,CB$9,FALSE)-AJ57)</f>
        <v>-</v>
      </c>
      <c r="CC57" s="91" t="str">
        <f>IF(AK57="-","-",VLOOKUP($E57,CTPit!$E$10:$AW$75,CC$9,FALSE)-AK57)</f>
        <v>-</v>
      </c>
      <c r="CD57" s="91" t="str">
        <f>IF(AL57="-","-",VLOOKUP($E57,CTPit!$E$10:$AW$75,CD$9,FALSE)-AL57)</f>
        <v>-</v>
      </c>
      <c r="CE57" s="91" t="str">
        <f>IF(AM57="-","-",VLOOKUP($E57,CTPit!$E$10:$AW$75,CE$9,FALSE)-AM57)</f>
        <v>-</v>
      </c>
      <c r="CF57" s="91" t="str">
        <f>IF(AN57="-","-",VLOOKUP($E57,CTPit!$E$10:$AW$75,CF$9,FALSE)-AN57)</f>
        <v>-</v>
      </c>
      <c r="CG57" s="91" t="str">
        <f>IF(AO57="-","-",VLOOKUP($E57,CTPit!$E$10:$AW$75,CG$9,FALSE)-AO57)</f>
        <v>-</v>
      </c>
      <c r="CH57" s="91" t="str">
        <f>IF(AP57="-","-",VLOOKUP($E57,CTPit!$E$10:$AW$75,CH$9,FALSE)-AP57)</f>
        <v>-</v>
      </c>
      <c r="CI57" s="91" t="str">
        <f>IF(AQ57="-","-",VLOOKUP($E57,CTPit!$E$10:$AW$75,CI$9,FALSE)-AQ57)</f>
        <v>-</v>
      </c>
      <c r="CJ57" s="91" t="str">
        <f>IF(AR57="-","-",VLOOKUP($E57,CTPit!$E$10:$AW$75,CJ$9,FALSE)-AR57)</f>
        <v>-</v>
      </c>
      <c r="CK57">
        <f t="shared" si="26"/>
        <v>0</v>
      </c>
    </row>
    <row r="58" spans="3:89">
      <c r="C58" t="str">
        <f t="shared" si="16"/>
        <v>K</v>
      </c>
      <c r="D58" t="s">
        <v>110</v>
      </c>
      <c r="E58" t="s">
        <v>455</v>
      </c>
      <c r="F58" t="s">
        <v>386</v>
      </c>
      <c r="G58" t="s">
        <v>215</v>
      </c>
      <c r="H58">
        <v>22</v>
      </c>
      <c r="I58" t="s">
        <v>107</v>
      </c>
      <c r="J58" s="220" t="s">
        <v>107</v>
      </c>
      <c r="K58" t="s">
        <v>47</v>
      </c>
      <c r="L58" t="s">
        <v>42</v>
      </c>
      <c r="M58" t="s">
        <v>228</v>
      </c>
      <c r="N58" s="220" t="s">
        <v>232</v>
      </c>
      <c r="O58">
        <v>8</v>
      </c>
      <c r="P58">
        <v>3</v>
      </c>
      <c r="Q58" s="220">
        <v>3</v>
      </c>
      <c r="R58">
        <v>9</v>
      </c>
      <c r="S58">
        <v>3</v>
      </c>
      <c r="T58" s="220">
        <v>4</v>
      </c>
      <c r="U58">
        <v>8</v>
      </c>
      <c r="V58">
        <v>8</v>
      </c>
      <c r="W58" t="s">
        <v>41</v>
      </c>
      <c r="X58" t="s">
        <v>41</v>
      </c>
      <c r="Y58">
        <v>7</v>
      </c>
      <c r="Z58">
        <v>7</v>
      </c>
      <c r="AA58" t="s">
        <v>41</v>
      </c>
      <c r="AB58" t="s">
        <v>41</v>
      </c>
      <c r="AC58" t="s">
        <v>41</v>
      </c>
      <c r="AD58" t="s">
        <v>41</v>
      </c>
      <c r="AE58" t="s">
        <v>41</v>
      </c>
      <c r="AF58" t="s">
        <v>41</v>
      </c>
      <c r="AG58" t="s">
        <v>41</v>
      </c>
      <c r="AH58" t="s">
        <v>41</v>
      </c>
      <c r="AI58" t="s">
        <v>41</v>
      </c>
      <c r="AJ58" t="s">
        <v>41</v>
      </c>
      <c r="AK58" t="s">
        <v>41</v>
      </c>
      <c r="AL58" t="s">
        <v>41</v>
      </c>
      <c r="AM58" t="s">
        <v>41</v>
      </c>
      <c r="AN58" t="s">
        <v>41</v>
      </c>
      <c r="AO58" t="s">
        <v>41</v>
      </c>
      <c r="AP58" t="s">
        <v>41</v>
      </c>
      <c r="AQ58" t="s">
        <v>41</v>
      </c>
      <c r="AR58" s="220" t="s">
        <v>41</v>
      </c>
      <c r="AS58" t="s">
        <v>419</v>
      </c>
      <c r="AT58">
        <v>7</v>
      </c>
      <c r="AU58" s="11">
        <v>0.35</v>
      </c>
      <c r="AV58" s="85" t="s">
        <v>41</v>
      </c>
      <c r="AW58" s="220">
        <v>0</v>
      </c>
      <c r="AX58" s="6">
        <f t="shared" si="17"/>
        <v>4.916666666666667</v>
      </c>
      <c r="AY58" s="9" t="str">
        <f t="shared" si="18"/>
        <v>Bench</v>
      </c>
      <c r="AZ58" s="9">
        <f t="shared" si="19"/>
        <v>5.583333333333333</v>
      </c>
      <c r="BA58" s="9" t="str">
        <f t="shared" si="20"/>
        <v>Reg</v>
      </c>
      <c r="BB58" s="9">
        <f t="shared" si="21"/>
        <v>5.583333333333333</v>
      </c>
      <c r="BC58" s="9" t="str">
        <f t="shared" si="22"/>
        <v>Reg</v>
      </c>
      <c r="BD58" s="84">
        <f t="shared" si="23"/>
        <v>2</v>
      </c>
      <c r="BE58" s="83">
        <f t="shared" si="24"/>
        <v>2</v>
      </c>
      <c r="BF58" t="str">
        <f t="shared" si="25"/>
        <v/>
      </c>
      <c r="BG58" s="91">
        <f>IF(O58="-","-",VLOOKUP($E58,CTPit!$E$10:$AW$75,BG$9,FALSE)-O58)</f>
        <v>0</v>
      </c>
      <c r="BH58" s="91">
        <f>IF(P58="-","-",VLOOKUP($E58,CTPit!$E$10:$AW$75,BH$9,FALSE)-P58)</f>
        <v>0</v>
      </c>
      <c r="BI58" s="91">
        <f>IF(Q58="-","-",VLOOKUP($E58,CTPit!$E$10:$AW$75,BI$9,FALSE)-Q58)</f>
        <v>0</v>
      </c>
      <c r="BJ58" s="91">
        <f>IF(R58="-","-",VLOOKUP($E58,CTPit!$E$10:$AW$75,BJ$9,FALSE)-R58)</f>
        <v>0</v>
      </c>
      <c r="BK58" s="91">
        <f>IF(S58="-","-",VLOOKUP($E58,CTPit!$E$10:$AW$75,BK$9,FALSE)-S58)</f>
        <v>0</v>
      </c>
      <c r="BL58" s="91">
        <f>IF(T58="-","-",VLOOKUP($E58,CTPit!$E$10:$AW$75,BL$9,FALSE)-T58)</f>
        <v>0</v>
      </c>
      <c r="BM58" s="91">
        <f>IF(U58="-","-",VLOOKUP($E58,CTPit!$E$10:$AW$75,BM$9,FALSE)-U58)</f>
        <v>0</v>
      </c>
      <c r="BN58" s="91">
        <f>IF(V58="-","-",VLOOKUP($E58,CTPit!$E$10:$AW$75,BN$9,FALSE)-V58)</f>
        <v>0</v>
      </c>
      <c r="BO58" s="91" t="str">
        <f>IF(W58="-","-",VLOOKUP($E58,CTPit!$E$10:$AW$75,BO$9,FALSE)-W58)</f>
        <v>-</v>
      </c>
      <c r="BP58" s="91" t="str">
        <f>IF(X58="-","-",VLOOKUP($E58,CTPit!$E$10:$AW$75,BP$9,FALSE)-X58)</f>
        <v>-</v>
      </c>
      <c r="BQ58" s="91">
        <f>IF(Y58="-","-",VLOOKUP($E58,CTPit!$E$10:$AW$75,BQ$9,FALSE)-Y58)</f>
        <v>0</v>
      </c>
      <c r="BR58" s="91">
        <f>IF(Z58="-","-",VLOOKUP($E58,CTPit!$E$10:$AW$75,BR$9,FALSE)-Z58)</f>
        <v>0</v>
      </c>
      <c r="BS58" s="91" t="str">
        <f>IF(AA58="-","-",VLOOKUP($E58,CTPit!$E$10:$AW$75,BS$9,FALSE)-AA58)</f>
        <v>-</v>
      </c>
      <c r="BT58" s="91" t="str">
        <f>IF(AB58="-","-",VLOOKUP($E58,CTPit!$E$10:$AW$75,BT$9,FALSE)-AB58)</f>
        <v>-</v>
      </c>
      <c r="BU58" s="91" t="str">
        <f>IF(AC58="-","-",VLOOKUP($E58,CTPit!$E$10:$AW$75,BU$9,FALSE)-AC58)</f>
        <v>-</v>
      </c>
      <c r="BV58" s="91" t="str">
        <f>IF(AD58="-","-",VLOOKUP($E58,CTPit!$E$10:$AW$75,BV$9,FALSE)-AD58)</f>
        <v>-</v>
      </c>
      <c r="BW58" s="91" t="str">
        <f>IF(AE58="-","-",VLOOKUP($E58,CTPit!$E$10:$AW$75,BW$9,FALSE)-AE58)</f>
        <v>-</v>
      </c>
      <c r="BX58" s="91" t="str">
        <f>IF(AF58="-","-",VLOOKUP($E58,CTPit!$E$10:$AW$75,BX$9,FALSE)-AF58)</f>
        <v>-</v>
      </c>
      <c r="BY58" s="91" t="str">
        <f>IF(AG58="-","-",VLOOKUP($E58,CTPit!$E$10:$AW$75,BY$9,FALSE)-AG58)</f>
        <v>-</v>
      </c>
      <c r="BZ58" s="91" t="str">
        <f>IF(AH58="-","-",VLOOKUP($E58,CTPit!$E$10:$AW$75,BZ$9,FALSE)-AH58)</f>
        <v>-</v>
      </c>
      <c r="CA58" s="91" t="str">
        <f>IF(AI58="-","-",VLOOKUP($E58,CTPit!$E$10:$AW$75,CA$9,FALSE)-AI58)</f>
        <v>-</v>
      </c>
      <c r="CB58" s="91" t="str">
        <f>IF(AJ58="-","-",VLOOKUP($E58,CTPit!$E$10:$AW$75,CB$9,FALSE)-AJ58)</f>
        <v>-</v>
      </c>
      <c r="CC58" s="91" t="str">
        <f>IF(AK58="-","-",VLOOKUP($E58,CTPit!$E$10:$AW$75,CC$9,FALSE)-AK58)</f>
        <v>-</v>
      </c>
      <c r="CD58" s="91" t="str">
        <f>IF(AL58="-","-",VLOOKUP($E58,CTPit!$E$10:$AW$75,CD$9,FALSE)-AL58)</f>
        <v>-</v>
      </c>
      <c r="CE58" s="91" t="str">
        <f>IF(AM58="-","-",VLOOKUP($E58,CTPit!$E$10:$AW$75,CE$9,FALSE)-AM58)</f>
        <v>-</v>
      </c>
      <c r="CF58" s="91" t="str">
        <f>IF(AN58="-","-",VLOOKUP($E58,CTPit!$E$10:$AW$75,CF$9,FALSE)-AN58)</f>
        <v>-</v>
      </c>
      <c r="CG58" s="91" t="str">
        <f>IF(AO58="-","-",VLOOKUP($E58,CTPit!$E$10:$AW$75,CG$9,FALSE)-AO58)</f>
        <v>-</v>
      </c>
      <c r="CH58" s="91" t="str">
        <f>IF(AP58="-","-",VLOOKUP($E58,CTPit!$E$10:$AW$75,CH$9,FALSE)-AP58)</f>
        <v>-</v>
      </c>
      <c r="CI58" s="91" t="str">
        <f>IF(AQ58="-","-",VLOOKUP($E58,CTPit!$E$10:$AW$75,CI$9,FALSE)-AQ58)</f>
        <v>-</v>
      </c>
      <c r="CJ58" s="91" t="str">
        <f>IF(AR58="-","-",VLOOKUP($E58,CTPit!$E$10:$AW$75,CJ$9,FALSE)-AR58)</f>
        <v>-</v>
      </c>
      <c r="CK58">
        <f t="shared" si="26"/>
        <v>0</v>
      </c>
    </row>
    <row r="59" spans="3:89">
      <c r="C59" t="str">
        <f t="shared" si="16"/>
        <v>K</v>
      </c>
      <c r="D59" t="s">
        <v>110</v>
      </c>
      <c r="E59" t="s">
        <v>352</v>
      </c>
      <c r="F59" t="s">
        <v>385</v>
      </c>
      <c r="G59" t="s">
        <v>214</v>
      </c>
      <c r="H59">
        <v>25</v>
      </c>
      <c r="I59" t="s">
        <v>106</v>
      </c>
      <c r="J59" s="220" t="s">
        <v>106</v>
      </c>
      <c r="K59" t="s">
        <v>47</v>
      </c>
      <c r="L59" t="s">
        <v>42</v>
      </c>
      <c r="M59" t="s">
        <v>230</v>
      </c>
      <c r="N59" s="220" t="s">
        <v>228</v>
      </c>
      <c r="O59">
        <v>4</v>
      </c>
      <c r="P59">
        <v>7</v>
      </c>
      <c r="Q59" s="220">
        <v>2</v>
      </c>
      <c r="R59">
        <v>4</v>
      </c>
      <c r="S59">
        <v>7</v>
      </c>
      <c r="T59" s="220">
        <v>4</v>
      </c>
      <c r="U59">
        <v>4</v>
      </c>
      <c r="V59">
        <v>4</v>
      </c>
      <c r="W59" t="s">
        <v>41</v>
      </c>
      <c r="X59" t="s">
        <v>41</v>
      </c>
      <c r="Y59" t="s">
        <v>41</v>
      </c>
      <c r="Z59" t="s">
        <v>41</v>
      </c>
      <c r="AA59">
        <v>4</v>
      </c>
      <c r="AB59">
        <v>4</v>
      </c>
      <c r="AC59" t="s">
        <v>41</v>
      </c>
      <c r="AD59" t="s">
        <v>41</v>
      </c>
      <c r="AE59" t="s">
        <v>41</v>
      </c>
      <c r="AF59" t="s">
        <v>41</v>
      </c>
      <c r="AG59" t="s">
        <v>41</v>
      </c>
      <c r="AH59" t="s">
        <v>41</v>
      </c>
      <c r="AI59" t="s">
        <v>41</v>
      </c>
      <c r="AJ59" t="s">
        <v>41</v>
      </c>
      <c r="AK59" t="s">
        <v>41</v>
      </c>
      <c r="AL59" t="s">
        <v>41</v>
      </c>
      <c r="AM59" t="s">
        <v>41</v>
      </c>
      <c r="AN59" t="s">
        <v>41</v>
      </c>
      <c r="AO59" t="s">
        <v>41</v>
      </c>
      <c r="AP59" t="s">
        <v>41</v>
      </c>
      <c r="AQ59" t="s">
        <v>41</v>
      </c>
      <c r="AR59" s="220" t="s">
        <v>41</v>
      </c>
      <c r="AS59" t="s">
        <v>1</v>
      </c>
      <c r="AT59">
        <v>3</v>
      </c>
      <c r="AU59" s="11">
        <v>0.63</v>
      </c>
      <c r="AV59" s="85" t="s">
        <v>41</v>
      </c>
      <c r="AW59" s="220">
        <v>0</v>
      </c>
      <c r="AX59" s="6">
        <f t="shared" si="17"/>
        <v>4.583333333333333</v>
      </c>
      <c r="AY59" s="9" t="str">
        <f t="shared" si="18"/>
        <v>Bench</v>
      </c>
      <c r="AZ59" s="9">
        <f t="shared" si="19"/>
        <v>5.25</v>
      </c>
      <c r="BA59" s="9" t="str">
        <f t="shared" si="20"/>
        <v>Reg</v>
      </c>
      <c r="BB59" s="9">
        <f t="shared" si="21"/>
        <v>5.25</v>
      </c>
      <c r="BC59" s="9" t="str">
        <f t="shared" si="22"/>
        <v>Reg</v>
      </c>
      <c r="BD59" s="84">
        <f t="shared" si="23"/>
        <v>2</v>
      </c>
      <c r="BE59" s="83">
        <f t="shared" si="24"/>
        <v>0</v>
      </c>
      <c r="BF59" t="str">
        <f t="shared" si="25"/>
        <v/>
      </c>
      <c r="BG59" s="91">
        <f>IF(O59="-","-",VLOOKUP($E59,CTPit!$E$10:$AW$75,BG$9,FALSE)-O59)</f>
        <v>0</v>
      </c>
      <c r="BH59" s="91">
        <f>IF(P59="-","-",VLOOKUP($E59,CTPit!$E$10:$AW$75,BH$9,FALSE)-P59)</f>
        <v>0</v>
      </c>
      <c r="BI59" s="91">
        <f>IF(Q59="-","-",VLOOKUP($E59,CTPit!$E$10:$AW$75,BI$9,FALSE)-Q59)</f>
        <v>0</v>
      </c>
      <c r="BJ59" s="91">
        <f>IF(R59="-","-",VLOOKUP($E59,CTPit!$E$10:$AW$75,BJ$9,FALSE)-R59)</f>
        <v>0</v>
      </c>
      <c r="BK59" s="91">
        <f>IF(S59="-","-",VLOOKUP($E59,CTPit!$E$10:$AW$75,BK$9,FALSE)-S59)</f>
        <v>0</v>
      </c>
      <c r="BL59" s="91">
        <f>IF(T59="-","-",VLOOKUP($E59,CTPit!$E$10:$AW$75,BL$9,FALSE)-T59)</f>
        <v>0</v>
      </c>
      <c r="BM59" s="91">
        <f>IF(U59="-","-",VLOOKUP($E59,CTPit!$E$10:$AW$75,BM$9,FALSE)-U59)</f>
        <v>0</v>
      </c>
      <c r="BN59" s="91">
        <f>IF(V59="-","-",VLOOKUP($E59,CTPit!$E$10:$AW$75,BN$9,FALSE)-V59)</f>
        <v>0</v>
      </c>
      <c r="BO59" s="91" t="str">
        <f>IF(W59="-","-",VLOOKUP($E59,CTPit!$E$10:$AW$75,BO$9,FALSE)-W59)</f>
        <v>-</v>
      </c>
      <c r="BP59" s="91" t="str">
        <f>IF(X59="-","-",VLOOKUP($E59,CTPit!$E$10:$AW$75,BP$9,FALSE)-X59)</f>
        <v>-</v>
      </c>
      <c r="BQ59" s="91" t="str">
        <f>IF(Y59="-","-",VLOOKUP($E59,CTPit!$E$10:$AW$75,BQ$9,FALSE)-Y59)</f>
        <v>-</v>
      </c>
      <c r="BR59" s="91" t="str">
        <f>IF(Z59="-","-",VLOOKUP($E59,CTPit!$E$10:$AW$75,BR$9,FALSE)-Z59)</f>
        <v>-</v>
      </c>
      <c r="BS59" s="91">
        <f>IF(AA59="-","-",VLOOKUP($E59,CTPit!$E$10:$AW$75,BS$9,FALSE)-AA59)</f>
        <v>0</v>
      </c>
      <c r="BT59" s="91">
        <f>IF(AB59="-","-",VLOOKUP($E59,CTPit!$E$10:$AW$75,BT$9,FALSE)-AB59)</f>
        <v>0</v>
      </c>
      <c r="BU59" s="91" t="str">
        <f>IF(AC59="-","-",VLOOKUP($E59,CTPit!$E$10:$AW$75,BU$9,FALSE)-AC59)</f>
        <v>-</v>
      </c>
      <c r="BV59" s="91" t="str">
        <f>IF(AD59="-","-",VLOOKUP($E59,CTPit!$E$10:$AW$75,BV$9,FALSE)-AD59)</f>
        <v>-</v>
      </c>
      <c r="BW59" s="91" t="str">
        <f>IF(AE59="-","-",VLOOKUP($E59,CTPit!$E$10:$AW$75,BW$9,FALSE)-AE59)</f>
        <v>-</v>
      </c>
      <c r="BX59" s="91" t="str">
        <f>IF(AF59="-","-",VLOOKUP($E59,CTPit!$E$10:$AW$75,BX$9,FALSE)-AF59)</f>
        <v>-</v>
      </c>
      <c r="BY59" s="91" t="str">
        <f>IF(AG59="-","-",VLOOKUP($E59,CTPit!$E$10:$AW$75,BY$9,FALSE)-AG59)</f>
        <v>-</v>
      </c>
      <c r="BZ59" s="91" t="str">
        <f>IF(AH59="-","-",VLOOKUP($E59,CTPit!$E$10:$AW$75,BZ$9,FALSE)-AH59)</f>
        <v>-</v>
      </c>
      <c r="CA59" s="91" t="str">
        <f>IF(AI59="-","-",VLOOKUP($E59,CTPit!$E$10:$AW$75,CA$9,FALSE)-AI59)</f>
        <v>-</v>
      </c>
      <c r="CB59" s="91" t="str">
        <f>IF(AJ59="-","-",VLOOKUP($E59,CTPit!$E$10:$AW$75,CB$9,FALSE)-AJ59)</f>
        <v>-</v>
      </c>
      <c r="CC59" s="91" t="str">
        <f>IF(AK59="-","-",VLOOKUP($E59,CTPit!$E$10:$AW$75,CC$9,FALSE)-AK59)</f>
        <v>-</v>
      </c>
      <c r="CD59" s="91" t="str">
        <f>IF(AL59="-","-",VLOOKUP($E59,CTPit!$E$10:$AW$75,CD$9,FALSE)-AL59)</f>
        <v>-</v>
      </c>
      <c r="CE59" s="91" t="str">
        <f>IF(AM59="-","-",VLOOKUP($E59,CTPit!$E$10:$AW$75,CE$9,FALSE)-AM59)</f>
        <v>-</v>
      </c>
      <c r="CF59" s="91" t="str">
        <f>IF(AN59="-","-",VLOOKUP($E59,CTPit!$E$10:$AW$75,CF$9,FALSE)-AN59)</f>
        <v>-</v>
      </c>
      <c r="CG59" s="91" t="str">
        <f>IF(AO59="-","-",VLOOKUP($E59,CTPit!$E$10:$AW$75,CG$9,FALSE)-AO59)</f>
        <v>-</v>
      </c>
      <c r="CH59" s="91" t="str">
        <f>IF(AP59="-","-",VLOOKUP($E59,CTPit!$E$10:$AW$75,CH$9,FALSE)-AP59)</f>
        <v>-</v>
      </c>
      <c r="CI59" s="91" t="str">
        <f>IF(AQ59="-","-",VLOOKUP($E59,CTPit!$E$10:$AW$75,CI$9,FALSE)-AQ59)</f>
        <v>-</v>
      </c>
      <c r="CJ59" s="91" t="str">
        <f>IF(AR59="-","-",VLOOKUP($E59,CTPit!$E$10:$AW$75,CJ$9,FALSE)-AR59)</f>
        <v>-</v>
      </c>
      <c r="CK59">
        <f t="shared" si="26"/>
        <v>0</v>
      </c>
    </row>
    <row r="60" spans="3:89">
      <c r="C60" t="str">
        <f t="shared" si="16"/>
        <v>K</v>
      </c>
      <c r="D60" t="s">
        <v>111</v>
      </c>
      <c r="E60" t="s">
        <v>242</v>
      </c>
      <c r="F60" t="s">
        <v>384</v>
      </c>
      <c r="G60" t="s">
        <v>213</v>
      </c>
      <c r="H60">
        <v>26</v>
      </c>
      <c r="I60" t="s">
        <v>107</v>
      </c>
      <c r="J60" s="220" t="s">
        <v>106</v>
      </c>
      <c r="K60" t="s">
        <v>47</v>
      </c>
      <c r="L60" t="s">
        <v>47</v>
      </c>
      <c r="M60" t="s">
        <v>230</v>
      </c>
      <c r="N60" s="220" t="s">
        <v>230</v>
      </c>
      <c r="O60">
        <v>4</v>
      </c>
      <c r="P60">
        <v>5</v>
      </c>
      <c r="Q60" s="220">
        <v>3</v>
      </c>
      <c r="R60">
        <v>5</v>
      </c>
      <c r="S60">
        <v>5</v>
      </c>
      <c r="T60" s="220">
        <v>3</v>
      </c>
      <c r="U60">
        <v>4</v>
      </c>
      <c r="V60">
        <v>5</v>
      </c>
      <c r="W60">
        <v>2</v>
      </c>
      <c r="X60">
        <v>3</v>
      </c>
      <c r="Y60" t="s">
        <v>41</v>
      </c>
      <c r="Z60" t="s">
        <v>41</v>
      </c>
      <c r="AA60">
        <v>5</v>
      </c>
      <c r="AB60">
        <v>5</v>
      </c>
      <c r="AC60" t="s">
        <v>41</v>
      </c>
      <c r="AD60" t="s">
        <v>41</v>
      </c>
      <c r="AE60">
        <v>4</v>
      </c>
      <c r="AF60">
        <v>5</v>
      </c>
      <c r="AG60">
        <v>5</v>
      </c>
      <c r="AH60">
        <v>5</v>
      </c>
      <c r="AI60" t="s">
        <v>41</v>
      </c>
      <c r="AJ60" t="s">
        <v>41</v>
      </c>
      <c r="AK60" t="s">
        <v>41</v>
      </c>
      <c r="AL60" t="s">
        <v>41</v>
      </c>
      <c r="AM60" t="s">
        <v>41</v>
      </c>
      <c r="AN60" t="s">
        <v>41</v>
      </c>
      <c r="AO60" t="s">
        <v>41</v>
      </c>
      <c r="AP60" t="s">
        <v>41</v>
      </c>
      <c r="AQ60" t="s">
        <v>41</v>
      </c>
      <c r="AR60" s="220" t="s">
        <v>41</v>
      </c>
      <c r="AS60" t="s">
        <v>6</v>
      </c>
      <c r="AT60">
        <v>6</v>
      </c>
      <c r="AU60" s="11">
        <v>0.54</v>
      </c>
      <c r="AV60" s="85" t="s">
        <v>41</v>
      </c>
      <c r="AW60" s="220">
        <v>0</v>
      </c>
      <c r="AX60" s="6">
        <f t="shared" si="17"/>
        <v>4.5</v>
      </c>
      <c r="AY60" s="9" t="str">
        <f t="shared" si="18"/>
        <v>Bench</v>
      </c>
      <c r="AZ60" s="9">
        <f t="shared" si="19"/>
        <v>4.833333333333333</v>
      </c>
      <c r="BA60" s="9" t="str">
        <f t="shared" si="20"/>
        <v>Bench</v>
      </c>
      <c r="BB60" s="9">
        <f t="shared" si="21"/>
        <v>4.833333333333333</v>
      </c>
      <c r="BC60" s="9" t="str">
        <f t="shared" si="22"/>
        <v>Bench</v>
      </c>
      <c r="BD60" s="84">
        <f t="shared" si="23"/>
        <v>5</v>
      </c>
      <c r="BE60" s="83">
        <f t="shared" si="24"/>
        <v>0</v>
      </c>
      <c r="BF60" t="str">
        <f t="shared" si="25"/>
        <v/>
      </c>
      <c r="BG60" s="91">
        <f>IF(O60="-","-",VLOOKUP($E60,CTPit!$E$10:$AW$75,BG$9,FALSE)-O60)</f>
        <v>0</v>
      </c>
      <c r="BH60" s="91">
        <f>IF(P60="-","-",VLOOKUP($E60,CTPit!$E$10:$AW$75,BH$9,FALSE)-P60)</f>
        <v>0</v>
      </c>
      <c r="BI60" s="91">
        <f>IF(Q60="-","-",VLOOKUP($E60,CTPit!$E$10:$AW$75,BI$9,FALSE)-Q60)</f>
        <v>0</v>
      </c>
      <c r="BJ60" s="91">
        <f>IF(R60="-","-",VLOOKUP($E60,CTPit!$E$10:$AW$75,BJ$9,FALSE)-R60)</f>
        <v>0</v>
      </c>
      <c r="BK60" s="91">
        <f>IF(S60="-","-",VLOOKUP($E60,CTPit!$E$10:$AW$75,BK$9,FALSE)-S60)</f>
        <v>0</v>
      </c>
      <c r="BL60" s="91">
        <f>IF(T60="-","-",VLOOKUP($E60,CTPit!$E$10:$AW$75,BL$9,FALSE)-T60)</f>
        <v>0</v>
      </c>
      <c r="BM60" s="91">
        <f>IF(U60="-","-",VLOOKUP($E60,CTPit!$E$10:$AW$75,BM$9,FALSE)-U60)</f>
        <v>0</v>
      </c>
      <c r="BN60" s="91">
        <f>IF(V60="-","-",VLOOKUP($E60,CTPit!$E$10:$AW$75,BN$9,FALSE)-V60)</f>
        <v>0</v>
      </c>
      <c r="BO60" s="91">
        <f>IF(W60="-","-",VLOOKUP($E60,CTPit!$E$10:$AW$75,BO$9,FALSE)-W60)</f>
        <v>0</v>
      </c>
      <c r="BP60" s="91">
        <f>IF(X60="-","-",VLOOKUP($E60,CTPit!$E$10:$AW$75,BP$9,FALSE)-X60)</f>
        <v>0</v>
      </c>
      <c r="BQ60" s="91" t="str">
        <f>IF(Y60="-","-",VLOOKUP($E60,CTPit!$E$10:$AW$75,BQ$9,FALSE)-Y60)</f>
        <v>-</v>
      </c>
      <c r="BR60" s="91" t="str">
        <f>IF(Z60="-","-",VLOOKUP($E60,CTPit!$E$10:$AW$75,BR$9,FALSE)-Z60)</f>
        <v>-</v>
      </c>
      <c r="BS60" s="91">
        <f>IF(AA60="-","-",VLOOKUP($E60,CTPit!$E$10:$AW$75,BS$9,FALSE)-AA60)</f>
        <v>0</v>
      </c>
      <c r="BT60" s="91">
        <f>IF(AB60="-","-",VLOOKUP($E60,CTPit!$E$10:$AW$75,BT$9,FALSE)-AB60)</f>
        <v>0</v>
      </c>
      <c r="BU60" s="91" t="str">
        <f>IF(AC60="-","-",VLOOKUP($E60,CTPit!$E$10:$AW$75,BU$9,FALSE)-AC60)</f>
        <v>-</v>
      </c>
      <c r="BV60" s="91" t="str">
        <f>IF(AD60="-","-",VLOOKUP($E60,CTPit!$E$10:$AW$75,BV$9,FALSE)-AD60)</f>
        <v>-</v>
      </c>
      <c r="BW60" s="91">
        <f>IF(AE60="-","-",VLOOKUP($E60,CTPit!$E$10:$AW$75,BW$9,FALSE)-AE60)</f>
        <v>0</v>
      </c>
      <c r="BX60" s="91">
        <f>IF(AF60="-","-",VLOOKUP($E60,CTPit!$E$10:$AW$75,BX$9,FALSE)-AF60)</f>
        <v>0</v>
      </c>
      <c r="BY60" s="91">
        <f>IF(AG60="-","-",VLOOKUP($E60,CTPit!$E$10:$AW$75,BY$9,FALSE)-AG60)</f>
        <v>0</v>
      </c>
      <c r="BZ60" s="91">
        <f>IF(AH60="-","-",VLOOKUP($E60,CTPit!$E$10:$AW$75,BZ$9,FALSE)-AH60)</f>
        <v>0</v>
      </c>
      <c r="CA60" s="91" t="str">
        <f>IF(AI60="-","-",VLOOKUP($E60,CTPit!$E$10:$AW$75,CA$9,FALSE)-AI60)</f>
        <v>-</v>
      </c>
      <c r="CB60" s="91" t="str">
        <f>IF(AJ60="-","-",VLOOKUP($E60,CTPit!$E$10:$AW$75,CB$9,FALSE)-AJ60)</f>
        <v>-</v>
      </c>
      <c r="CC60" s="91" t="str">
        <f>IF(AK60="-","-",VLOOKUP($E60,CTPit!$E$10:$AW$75,CC$9,FALSE)-AK60)</f>
        <v>-</v>
      </c>
      <c r="CD60" s="91" t="str">
        <f>IF(AL60="-","-",VLOOKUP($E60,CTPit!$E$10:$AW$75,CD$9,FALSE)-AL60)</f>
        <v>-</v>
      </c>
      <c r="CE60" s="91" t="str">
        <f>IF(AM60="-","-",VLOOKUP($E60,CTPit!$E$10:$AW$75,CE$9,FALSE)-AM60)</f>
        <v>-</v>
      </c>
      <c r="CF60" s="91" t="str">
        <f>IF(AN60="-","-",VLOOKUP($E60,CTPit!$E$10:$AW$75,CF$9,FALSE)-AN60)</f>
        <v>-</v>
      </c>
      <c r="CG60" s="91" t="str">
        <f>IF(AO60="-","-",VLOOKUP($E60,CTPit!$E$10:$AW$75,CG$9,FALSE)-AO60)</f>
        <v>-</v>
      </c>
      <c r="CH60" s="91" t="str">
        <f>IF(AP60="-","-",VLOOKUP($E60,CTPit!$E$10:$AW$75,CH$9,FALSE)-AP60)</f>
        <v>-</v>
      </c>
      <c r="CI60" s="91" t="str">
        <f>IF(AQ60="-","-",VLOOKUP($E60,CTPit!$E$10:$AW$75,CI$9,FALSE)-AQ60)</f>
        <v>-</v>
      </c>
      <c r="CJ60" s="91" t="str">
        <f>IF(AR60="-","-",VLOOKUP($E60,CTPit!$E$10:$AW$75,CJ$9,FALSE)-AR60)</f>
        <v>-</v>
      </c>
      <c r="CK60">
        <f t="shared" si="26"/>
        <v>0</v>
      </c>
    </row>
    <row r="61" spans="3:89">
      <c r="C61" t="str">
        <f t="shared" si="16"/>
        <v>K</v>
      </c>
      <c r="D61" t="s">
        <v>111</v>
      </c>
      <c r="E61" t="s">
        <v>510</v>
      </c>
      <c r="F61" t="s">
        <v>383</v>
      </c>
      <c r="G61" t="s">
        <v>327</v>
      </c>
      <c r="H61">
        <v>22</v>
      </c>
      <c r="I61" t="s">
        <v>106</v>
      </c>
      <c r="J61" s="220" t="s">
        <v>106</v>
      </c>
      <c r="K61" t="s">
        <v>47</v>
      </c>
      <c r="L61" t="s">
        <v>42</v>
      </c>
      <c r="M61" t="s">
        <v>230</v>
      </c>
      <c r="N61" s="220" t="s">
        <v>229</v>
      </c>
      <c r="O61">
        <v>5</v>
      </c>
      <c r="P61">
        <v>4</v>
      </c>
      <c r="Q61" s="220">
        <v>3</v>
      </c>
      <c r="R61">
        <v>5</v>
      </c>
      <c r="S61">
        <v>4</v>
      </c>
      <c r="T61" s="220">
        <v>7</v>
      </c>
      <c r="U61">
        <v>6</v>
      </c>
      <c r="V61">
        <v>6</v>
      </c>
      <c r="W61">
        <v>6</v>
      </c>
      <c r="X61">
        <v>6</v>
      </c>
      <c r="Y61" t="s">
        <v>41</v>
      </c>
      <c r="Z61" t="s">
        <v>41</v>
      </c>
      <c r="AA61">
        <v>3</v>
      </c>
      <c r="AB61">
        <v>3</v>
      </c>
      <c r="AC61" t="s">
        <v>41</v>
      </c>
      <c r="AD61" t="s">
        <v>41</v>
      </c>
      <c r="AE61" t="s">
        <v>41</v>
      </c>
      <c r="AF61" t="s">
        <v>41</v>
      </c>
      <c r="AG61" t="s">
        <v>41</v>
      </c>
      <c r="AH61" t="s">
        <v>41</v>
      </c>
      <c r="AI61">
        <v>5</v>
      </c>
      <c r="AJ61">
        <v>6</v>
      </c>
      <c r="AK61" t="s">
        <v>41</v>
      </c>
      <c r="AL61" t="s">
        <v>41</v>
      </c>
      <c r="AM61" t="s">
        <v>41</v>
      </c>
      <c r="AN61" t="s">
        <v>41</v>
      </c>
      <c r="AO61" t="s">
        <v>41</v>
      </c>
      <c r="AP61" t="s">
        <v>41</v>
      </c>
      <c r="AQ61" t="s">
        <v>41</v>
      </c>
      <c r="AR61" s="220" t="s">
        <v>41</v>
      </c>
      <c r="AS61" t="s">
        <v>11</v>
      </c>
      <c r="AT61">
        <v>9</v>
      </c>
      <c r="AU61" s="11">
        <v>0.48</v>
      </c>
      <c r="AV61" s="85" t="s">
        <v>41</v>
      </c>
      <c r="AW61" s="220">
        <v>0</v>
      </c>
      <c r="AX61" s="6">
        <f t="shared" si="17"/>
        <v>4.5</v>
      </c>
      <c r="AY61" s="9" t="str">
        <f t="shared" si="18"/>
        <v>Bench</v>
      </c>
      <c r="AZ61" s="9">
        <f t="shared" si="19"/>
        <v>5.833333333333333</v>
      </c>
      <c r="BA61" s="9" t="str">
        <f t="shared" si="20"/>
        <v>Reg</v>
      </c>
      <c r="BB61" s="9">
        <f t="shared" si="21"/>
        <v>5.833333333333333</v>
      </c>
      <c r="BC61" s="9" t="str">
        <f t="shared" si="22"/>
        <v>Reg</v>
      </c>
      <c r="BD61" s="84">
        <f t="shared" si="23"/>
        <v>4</v>
      </c>
      <c r="BE61" s="83">
        <f t="shared" si="24"/>
        <v>2.5</v>
      </c>
      <c r="BF61" t="str">
        <f t="shared" si="25"/>
        <v/>
      </c>
      <c r="BG61" s="91">
        <f>IF(O61="-","-",VLOOKUP($E61,CTPit!$E$10:$AW$75,BG$9,FALSE)-O61)</f>
        <v>0</v>
      </c>
      <c r="BH61" s="91">
        <f>IF(P61="-","-",VLOOKUP($E61,CTPit!$E$10:$AW$75,BH$9,FALSE)-P61)</f>
        <v>0</v>
      </c>
      <c r="BI61" s="91">
        <f>IF(Q61="-","-",VLOOKUP($E61,CTPit!$E$10:$AW$75,BI$9,FALSE)-Q61)</f>
        <v>0</v>
      </c>
      <c r="BJ61" s="91">
        <f>IF(R61="-","-",VLOOKUP($E61,CTPit!$E$10:$AW$75,BJ$9,FALSE)-R61)</f>
        <v>0</v>
      </c>
      <c r="BK61" s="91">
        <f>IF(S61="-","-",VLOOKUP($E61,CTPit!$E$10:$AW$75,BK$9,FALSE)-S61)</f>
        <v>0</v>
      </c>
      <c r="BL61" s="91">
        <f>IF(T61="-","-",VLOOKUP($E61,CTPit!$E$10:$AW$75,BL$9,FALSE)-T61)</f>
        <v>0</v>
      </c>
      <c r="BM61" s="91">
        <f>IF(U61="-","-",VLOOKUP($E61,CTPit!$E$10:$AW$75,BM$9,FALSE)-U61)</f>
        <v>0</v>
      </c>
      <c r="BN61" s="91">
        <f>IF(V61="-","-",VLOOKUP($E61,CTPit!$E$10:$AW$75,BN$9,FALSE)-V61)</f>
        <v>0</v>
      </c>
      <c r="BO61" s="91">
        <f>IF(W61="-","-",VLOOKUP($E61,CTPit!$E$10:$AW$75,BO$9,FALSE)-W61)</f>
        <v>0</v>
      </c>
      <c r="BP61" s="91">
        <f>IF(X61="-","-",VLOOKUP($E61,CTPit!$E$10:$AW$75,BP$9,FALSE)-X61)</f>
        <v>0</v>
      </c>
      <c r="BQ61" s="91" t="str">
        <f>IF(Y61="-","-",VLOOKUP($E61,CTPit!$E$10:$AW$75,BQ$9,FALSE)-Y61)</f>
        <v>-</v>
      </c>
      <c r="BR61" s="91" t="str">
        <f>IF(Z61="-","-",VLOOKUP($E61,CTPit!$E$10:$AW$75,BR$9,FALSE)-Z61)</f>
        <v>-</v>
      </c>
      <c r="BS61" s="91">
        <f>IF(AA61="-","-",VLOOKUP($E61,CTPit!$E$10:$AW$75,BS$9,FALSE)-AA61)</f>
        <v>0</v>
      </c>
      <c r="BT61" s="91">
        <f>IF(AB61="-","-",VLOOKUP($E61,CTPit!$E$10:$AW$75,BT$9,FALSE)-AB61)</f>
        <v>0</v>
      </c>
      <c r="BU61" s="91" t="str">
        <f>IF(AC61="-","-",VLOOKUP($E61,CTPit!$E$10:$AW$75,BU$9,FALSE)-AC61)</f>
        <v>-</v>
      </c>
      <c r="BV61" s="91" t="str">
        <f>IF(AD61="-","-",VLOOKUP($E61,CTPit!$E$10:$AW$75,BV$9,FALSE)-AD61)</f>
        <v>-</v>
      </c>
      <c r="BW61" s="91" t="str">
        <f>IF(AE61="-","-",VLOOKUP($E61,CTPit!$E$10:$AW$75,BW$9,FALSE)-AE61)</f>
        <v>-</v>
      </c>
      <c r="BX61" s="91" t="str">
        <f>IF(AF61="-","-",VLOOKUP($E61,CTPit!$E$10:$AW$75,BX$9,FALSE)-AF61)</f>
        <v>-</v>
      </c>
      <c r="BY61" s="91" t="str">
        <f>IF(AG61="-","-",VLOOKUP($E61,CTPit!$E$10:$AW$75,BY$9,FALSE)-AG61)</f>
        <v>-</v>
      </c>
      <c r="BZ61" s="91" t="str">
        <f>IF(AH61="-","-",VLOOKUP($E61,CTPit!$E$10:$AW$75,BZ$9,FALSE)-AH61)</f>
        <v>-</v>
      </c>
      <c r="CA61" s="91">
        <f>IF(AI61="-","-",VLOOKUP($E61,CTPit!$E$10:$AW$75,CA$9,FALSE)-AI61)</f>
        <v>0</v>
      </c>
      <c r="CB61" s="91">
        <f>IF(AJ61="-","-",VLOOKUP($E61,CTPit!$E$10:$AW$75,CB$9,FALSE)-AJ61)</f>
        <v>0</v>
      </c>
      <c r="CC61" s="91" t="str">
        <f>IF(AK61="-","-",VLOOKUP($E61,CTPit!$E$10:$AW$75,CC$9,FALSE)-AK61)</f>
        <v>-</v>
      </c>
      <c r="CD61" s="91" t="str">
        <f>IF(AL61="-","-",VLOOKUP($E61,CTPit!$E$10:$AW$75,CD$9,FALSE)-AL61)</f>
        <v>-</v>
      </c>
      <c r="CE61" s="91" t="str">
        <f>IF(AM61="-","-",VLOOKUP($E61,CTPit!$E$10:$AW$75,CE$9,FALSE)-AM61)</f>
        <v>-</v>
      </c>
      <c r="CF61" s="91" t="str">
        <f>IF(AN61="-","-",VLOOKUP($E61,CTPit!$E$10:$AW$75,CF$9,FALSE)-AN61)</f>
        <v>-</v>
      </c>
      <c r="CG61" s="91" t="str">
        <f>IF(AO61="-","-",VLOOKUP($E61,CTPit!$E$10:$AW$75,CG$9,FALSE)-AO61)</f>
        <v>-</v>
      </c>
      <c r="CH61" s="91" t="str">
        <f>IF(AP61="-","-",VLOOKUP($E61,CTPit!$E$10:$AW$75,CH$9,FALSE)-AP61)</f>
        <v>-</v>
      </c>
      <c r="CI61" s="91" t="str">
        <f>IF(AQ61="-","-",VLOOKUP($E61,CTPit!$E$10:$AW$75,CI$9,FALSE)-AQ61)</f>
        <v>-</v>
      </c>
      <c r="CJ61" s="91" t="str">
        <f>IF(AR61="-","-",VLOOKUP($E61,CTPit!$E$10:$AW$75,CJ$9,FALSE)-AR61)</f>
        <v>-</v>
      </c>
      <c r="CK61">
        <f t="shared" si="26"/>
        <v>0</v>
      </c>
    </row>
    <row r="62" spans="3:89">
      <c r="C62" t="str">
        <f t="shared" si="16"/>
        <v>K</v>
      </c>
      <c r="D62" t="s">
        <v>110</v>
      </c>
      <c r="E62" t="s">
        <v>513</v>
      </c>
      <c r="F62" t="s">
        <v>383</v>
      </c>
      <c r="G62" t="s">
        <v>327</v>
      </c>
      <c r="H62">
        <v>22</v>
      </c>
      <c r="I62" t="s">
        <v>107</v>
      </c>
      <c r="J62" s="223" t="s">
        <v>106</v>
      </c>
      <c r="K62" t="s">
        <v>47</v>
      </c>
      <c r="L62" t="s">
        <v>42</v>
      </c>
      <c r="M62" t="s">
        <v>230</v>
      </c>
      <c r="N62" s="223" t="s">
        <v>230</v>
      </c>
      <c r="O62">
        <v>6</v>
      </c>
      <c r="P62">
        <v>4</v>
      </c>
      <c r="Q62" s="223">
        <v>2</v>
      </c>
      <c r="R62">
        <v>6</v>
      </c>
      <c r="S62">
        <v>4</v>
      </c>
      <c r="T62" s="223">
        <v>4</v>
      </c>
      <c r="U62">
        <v>7</v>
      </c>
      <c r="V62">
        <v>7</v>
      </c>
      <c r="W62">
        <v>4</v>
      </c>
      <c r="X62">
        <v>4</v>
      </c>
      <c r="Y62" t="s">
        <v>41</v>
      </c>
      <c r="Z62" t="s">
        <v>41</v>
      </c>
      <c r="AA62" t="s">
        <v>41</v>
      </c>
      <c r="AB62" t="s">
        <v>41</v>
      </c>
      <c r="AC62" t="s">
        <v>41</v>
      </c>
      <c r="AD62" t="s">
        <v>41</v>
      </c>
      <c r="AE62" t="s">
        <v>41</v>
      </c>
      <c r="AF62" t="s">
        <v>41</v>
      </c>
      <c r="AG62">
        <v>6</v>
      </c>
      <c r="AH62">
        <v>6</v>
      </c>
      <c r="AI62">
        <v>6</v>
      </c>
      <c r="AJ62">
        <v>6</v>
      </c>
      <c r="AK62" t="s">
        <v>41</v>
      </c>
      <c r="AL62" t="s">
        <v>41</v>
      </c>
      <c r="AM62" t="s">
        <v>41</v>
      </c>
      <c r="AN62" t="s">
        <v>41</v>
      </c>
      <c r="AO62" t="s">
        <v>41</v>
      </c>
      <c r="AP62" t="s">
        <v>41</v>
      </c>
      <c r="AQ62" t="s">
        <v>41</v>
      </c>
      <c r="AR62" s="223" t="s">
        <v>41</v>
      </c>
      <c r="AS62" t="s">
        <v>456</v>
      </c>
      <c r="AT62">
        <v>4</v>
      </c>
      <c r="AU62" s="11">
        <v>0.45</v>
      </c>
      <c r="AV62" s="85" t="s">
        <v>41</v>
      </c>
      <c r="AW62" s="223">
        <v>0</v>
      </c>
      <c r="AX62" s="6">
        <f t="shared" si="17"/>
        <v>4.5</v>
      </c>
      <c r="AY62" s="9" t="str">
        <f t="shared" si="18"/>
        <v>Bench</v>
      </c>
      <c r="AZ62" s="9">
        <f t="shared" si="19"/>
        <v>5.166666666666667</v>
      </c>
      <c r="BA62" s="9" t="str">
        <f t="shared" si="20"/>
        <v>Reg</v>
      </c>
      <c r="BB62" s="9">
        <f t="shared" si="21"/>
        <v>5.166666666666667</v>
      </c>
      <c r="BC62" s="9" t="str">
        <f t="shared" si="22"/>
        <v>Reg</v>
      </c>
      <c r="BD62" s="84">
        <f t="shared" si="23"/>
        <v>4</v>
      </c>
      <c r="BE62" s="83">
        <f t="shared" si="24"/>
        <v>3</v>
      </c>
      <c r="BF62" t="str">
        <f t="shared" si="25"/>
        <v/>
      </c>
      <c r="BG62" s="91">
        <f>IF(O62="-","-",VLOOKUP($E62,CTPit!$E$10:$AW$75,BG$9,FALSE)-O62)</f>
        <v>0</v>
      </c>
      <c r="BH62" s="91">
        <f>IF(P62="-","-",VLOOKUP($E62,CTPit!$E$10:$AW$75,BH$9,FALSE)-P62)</f>
        <v>0</v>
      </c>
      <c r="BI62" s="91">
        <f>IF(Q62="-","-",VLOOKUP($E62,CTPit!$E$10:$AW$75,BI$9,FALSE)-Q62)</f>
        <v>0</v>
      </c>
      <c r="BJ62" s="91">
        <f>IF(R62="-","-",VLOOKUP($E62,CTPit!$E$10:$AW$75,BJ$9,FALSE)-R62)</f>
        <v>0</v>
      </c>
      <c r="BK62" s="91">
        <f>IF(S62="-","-",VLOOKUP($E62,CTPit!$E$10:$AW$75,BK$9,FALSE)-S62)</f>
        <v>0</v>
      </c>
      <c r="BL62" s="91">
        <f>IF(T62="-","-",VLOOKUP($E62,CTPit!$E$10:$AW$75,BL$9,FALSE)-T62)</f>
        <v>0</v>
      </c>
      <c r="BM62" s="91">
        <f>IF(U62="-","-",VLOOKUP($E62,CTPit!$E$10:$AW$75,BM$9,FALSE)-U62)</f>
        <v>0</v>
      </c>
      <c r="BN62" s="91">
        <f>IF(V62="-","-",VLOOKUP($E62,CTPit!$E$10:$AW$75,BN$9,FALSE)-V62)</f>
        <v>0</v>
      </c>
      <c r="BO62" s="91">
        <f>IF(W62="-","-",VLOOKUP($E62,CTPit!$E$10:$AW$75,BO$9,FALSE)-W62)</f>
        <v>0</v>
      </c>
      <c r="BP62" s="91">
        <f>IF(X62="-","-",VLOOKUP($E62,CTPit!$E$10:$AW$75,BP$9,FALSE)-X62)</f>
        <v>0</v>
      </c>
      <c r="BQ62" s="91" t="str">
        <f>IF(Y62="-","-",VLOOKUP($E62,CTPit!$E$10:$AW$75,BQ$9,FALSE)-Y62)</f>
        <v>-</v>
      </c>
      <c r="BR62" s="91" t="str">
        <f>IF(Z62="-","-",VLOOKUP($E62,CTPit!$E$10:$AW$75,BR$9,FALSE)-Z62)</f>
        <v>-</v>
      </c>
      <c r="BS62" s="91" t="str">
        <f>IF(AA62="-","-",VLOOKUP($E62,CTPit!$E$10:$AW$75,BS$9,FALSE)-AA62)</f>
        <v>-</v>
      </c>
      <c r="BT62" s="91" t="str">
        <f>IF(AB62="-","-",VLOOKUP($E62,CTPit!$E$10:$AW$75,BT$9,FALSE)-AB62)</f>
        <v>-</v>
      </c>
      <c r="BU62" s="91" t="str">
        <f>IF(AC62="-","-",VLOOKUP($E62,CTPit!$E$10:$AW$75,BU$9,FALSE)-AC62)</f>
        <v>-</v>
      </c>
      <c r="BV62" s="91" t="str">
        <f>IF(AD62="-","-",VLOOKUP($E62,CTPit!$E$10:$AW$75,BV$9,FALSE)-AD62)</f>
        <v>-</v>
      </c>
      <c r="BW62" s="91" t="str">
        <f>IF(AE62="-","-",VLOOKUP($E62,CTPit!$E$10:$AW$75,BW$9,FALSE)-AE62)</f>
        <v>-</v>
      </c>
      <c r="BX62" s="91" t="str">
        <f>IF(AF62="-","-",VLOOKUP($E62,CTPit!$E$10:$AW$75,BX$9,FALSE)-AF62)</f>
        <v>-</v>
      </c>
      <c r="BY62" s="91">
        <f>IF(AG62="-","-",VLOOKUP($E62,CTPit!$E$10:$AW$75,BY$9,FALSE)-AG62)</f>
        <v>0</v>
      </c>
      <c r="BZ62" s="91">
        <f>IF(AH62="-","-",VLOOKUP($E62,CTPit!$E$10:$AW$75,BZ$9,FALSE)-AH62)</f>
        <v>0</v>
      </c>
      <c r="CA62" s="91">
        <f>IF(AI62="-","-",VLOOKUP($E62,CTPit!$E$10:$AW$75,CA$9,FALSE)-AI62)</f>
        <v>0</v>
      </c>
      <c r="CB62" s="91">
        <f>IF(AJ62="-","-",VLOOKUP($E62,CTPit!$E$10:$AW$75,CB$9,FALSE)-AJ62)</f>
        <v>0</v>
      </c>
      <c r="CC62" s="91" t="str">
        <f>IF(AK62="-","-",VLOOKUP($E62,CTPit!$E$10:$AW$75,CC$9,FALSE)-AK62)</f>
        <v>-</v>
      </c>
      <c r="CD62" s="91" t="str">
        <f>IF(AL62="-","-",VLOOKUP($E62,CTPit!$E$10:$AW$75,CD$9,FALSE)-AL62)</f>
        <v>-</v>
      </c>
      <c r="CE62" s="91" t="str">
        <f>IF(AM62="-","-",VLOOKUP($E62,CTPit!$E$10:$AW$75,CE$9,FALSE)-AM62)</f>
        <v>-</v>
      </c>
      <c r="CF62" s="91" t="str">
        <f>IF(AN62="-","-",VLOOKUP($E62,CTPit!$E$10:$AW$75,CF$9,FALSE)-AN62)</f>
        <v>-</v>
      </c>
      <c r="CG62" s="91" t="str">
        <f>IF(AO62="-","-",VLOOKUP($E62,CTPit!$E$10:$AW$75,CG$9,FALSE)-AO62)</f>
        <v>-</v>
      </c>
      <c r="CH62" s="91" t="str">
        <f>IF(AP62="-","-",VLOOKUP($E62,CTPit!$E$10:$AW$75,CH$9,FALSE)-AP62)</f>
        <v>-</v>
      </c>
      <c r="CI62" s="91" t="str">
        <f>IF(AQ62="-","-",VLOOKUP($E62,CTPit!$E$10:$AW$75,CI$9,FALSE)-AQ62)</f>
        <v>-</v>
      </c>
      <c r="CJ62" s="91" t="str">
        <f>IF(AR62="-","-",VLOOKUP($E62,CTPit!$E$10:$AW$75,CJ$9,FALSE)-AR62)</f>
        <v>-</v>
      </c>
      <c r="CK62">
        <f t="shared" si="26"/>
        <v>0</v>
      </c>
    </row>
    <row r="63" spans="3:89">
      <c r="C63" t="str">
        <f t="shared" si="16"/>
        <v>K</v>
      </c>
      <c r="D63" t="s">
        <v>110</v>
      </c>
      <c r="E63" t="s">
        <v>413</v>
      </c>
      <c r="F63" t="s">
        <v>386</v>
      </c>
      <c r="G63" t="s">
        <v>215</v>
      </c>
      <c r="H63">
        <v>20</v>
      </c>
      <c r="I63" t="s">
        <v>106</v>
      </c>
      <c r="J63" s="223" t="s">
        <v>106</v>
      </c>
      <c r="K63" t="s">
        <v>47</v>
      </c>
      <c r="L63" t="s">
        <v>42</v>
      </c>
      <c r="M63" t="s">
        <v>230</v>
      </c>
      <c r="N63" s="223" t="s">
        <v>230</v>
      </c>
      <c r="O63">
        <v>5</v>
      </c>
      <c r="P63">
        <v>3</v>
      </c>
      <c r="Q63" s="223">
        <v>3</v>
      </c>
      <c r="R63">
        <v>5</v>
      </c>
      <c r="S63">
        <v>4</v>
      </c>
      <c r="T63" s="223">
        <v>6</v>
      </c>
      <c r="U63">
        <v>6</v>
      </c>
      <c r="V63">
        <v>6</v>
      </c>
      <c r="W63">
        <v>5</v>
      </c>
      <c r="X63">
        <v>5</v>
      </c>
      <c r="Y63">
        <v>4</v>
      </c>
      <c r="Z63">
        <v>4</v>
      </c>
      <c r="AA63" t="s">
        <v>41</v>
      </c>
      <c r="AB63" t="s">
        <v>41</v>
      </c>
      <c r="AC63" t="s">
        <v>41</v>
      </c>
      <c r="AD63" t="s">
        <v>41</v>
      </c>
      <c r="AE63">
        <v>5</v>
      </c>
      <c r="AF63">
        <v>5</v>
      </c>
      <c r="AG63" t="s">
        <v>41</v>
      </c>
      <c r="AH63" t="s">
        <v>41</v>
      </c>
      <c r="AI63">
        <v>5</v>
      </c>
      <c r="AJ63">
        <v>5</v>
      </c>
      <c r="AK63" t="s">
        <v>41</v>
      </c>
      <c r="AL63" t="s">
        <v>41</v>
      </c>
      <c r="AM63" t="s">
        <v>41</v>
      </c>
      <c r="AN63" t="s">
        <v>41</v>
      </c>
      <c r="AO63" t="s">
        <v>41</v>
      </c>
      <c r="AP63" t="s">
        <v>41</v>
      </c>
      <c r="AQ63" t="s">
        <v>41</v>
      </c>
      <c r="AR63" s="223" t="s">
        <v>41</v>
      </c>
      <c r="AS63" t="s">
        <v>15</v>
      </c>
      <c r="AT63">
        <v>7</v>
      </c>
      <c r="AU63" s="11">
        <v>0.34</v>
      </c>
      <c r="AV63" s="85" t="s">
        <v>41</v>
      </c>
      <c r="AW63" s="223">
        <v>0</v>
      </c>
      <c r="AX63" s="6">
        <f t="shared" si="17"/>
        <v>4.4166666666666661</v>
      </c>
      <c r="AY63" s="9" t="str">
        <f t="shared" si="18"/>
        <v>Bench</v>
      </c>
      <c r="AZ63" s="9">
        <f t="shared" si="19"/>
        <v>5.75</v>
      </c>
      <c r="BA63" s="9" t="str">
        <f t="shared" si="20"/>
        <v>Reg</v>
      </c>
      <c r="BB63" s="9">
        <f t="shared" si="21"/>
        <v>5.75</v>
      </c>
      <c r="BC63" s="9" t="str">
        <f t="shared" si="22"/>
        <v>Reg</v>
      </c>
      <c r="BD63" s="84">
        <f t="shared" si="23"/>
        <v>5</v>
      </c>
      <c r="BE63" s="83">
        <f t="shared" si="24"/>
        <v>1</v>
      </c>
      <c r="BF63" t="str">
        <f t="shared" si="25"/>
        <v/>
      </c>
      <c r="BG63" s="91">
        <f>IF(O63="-","-",VLOOKUP($E63,CTPit!$E$10:$AW$75,BG$9,FALSE)-O63)</f>
        <v>0</v>
      </c>
      <c r="BH63" s="91">
        <f>IF(P63="-","-",VLOOKUP($E63,CTPit!$E$10:$AW$75,BH$9,FALSE)-P63)</f>
        <v>0</v>
      </c>
      <c r="BI63" s="91">
        <f>IF(Q63="-","-",VLOOKUP($E63,CTPit!$E$10:$AW$75,BI$9,FALSE)-Q63)</f>
        <v>0</v>
      </c>
      <c r="BJ63" s="91">
        <f>IF(R63="-","-",VLOOKUP($E63,CTPit!$E$10:$AW$75,BJ$9,FALSE)-R63)</f>
        <v>0</v>
      </c>
      <c r="BK63" s="91">
        <f>IF(S63="-","-",VLOOKUP($E63,CTPit!$E$10:$AW$75,BK$9,FALSE)-S63)</f>
        <v>0</v>
      </c>
      <c r="BL63" s="91">
        <f>IF(T63="-","-",VLOOKUP($E63,CTPit!$E$10:$AW$75,BL$9,FALSE)-T63)</f>
        <v>0</v>
      </c>
      <c r="BM63" s="91">
        <f>IF(U63="-","-",VLOOKUP($E63,CTPit!$E$10:$AW$75,BM$9,FALSE)-U63)</f>
        <v>0</v>
      </c>
      <c r="BN63" s="91">
        <f>IF(V63="-","-",VLOOKUP($E63,CTPit!$E$10:$AW$75,BN$9,FALSE)-V63)</f>
        <v>0</v>
      </c>
      <c r="BO63" s="91">
        <f>IF(W63="-","-",VLOOKUP($E63,CTPit!$E$10:$AW$75,BO$9,FALSE)-W63)</f>
        <v>0</v>
      </c>
      <c r="BP63" s="91">
        <f>IF(X63="-","-",VLOOKUP($E63,CTPit!$E$10:$AW$75,BP$9,FALSE)-X63)</f>
        <v>0</v>
      </c>
      <c r="BQ63" s="91">
        <f>IF(Y63="-","-",VLOOKUP($E63,CTPit!$E$10:$AW$75,BQ$9,FALSE)-Y63)</f>
        <v>0</v>
      </c>
      <c r="BR63" s="91">
        <f>IF(Z63="-","-",VLOOKUP($E63,CTPit!$E$10:$AW$75,BR$9,FALSE)-Z63)</f>
        <v>0</v>
      </c>
      <c r="BS63" s="91" t="str">
        <f>IF(AA63="-","-",VLOOKUP($E63,CTPit!$E$10:$AW$75,BS$9,FALSE)-AA63)</f>
        <v>-</v>
      </c>
      <c r="BT63" s="91" t="str">
        <f>IF(AB63="-","-",VLOOKUP($E63,CTPit!$E$10:$AW$75,BT$9,FALSE)-AB63)</f>
        <v>-</v>
      </c>
      <c r="BU63" s="91" t="str">
        <f>IF(AC63="-","-",VLOOKUP($E63,CTPit!$E$10:$AW$75,BU$9,FALSE)-AC63)</f>
        <v>-</v>
      </c>
      <c r="BV63" s="91" t="str">
        <f>IF(AD63="-","-",VLOOKUP($E63,CTPit!$E$10:$AW$75,BV$9,FALSE)-AD63)</f>
        <v>-</v>
      </c>
      <c r="BW63" s="91">
        <f>IF(AE63="-","-",VLOOKUP($E63,CTPit!$E$10:$AW$75,BW$9,FALSE)-AE63)</f>
        <v>0</v>
      </c>
      <c r="BX63" s="91">
        <f>IF(AF63="-","-",VLOOKUP($E63,CTPit!$E$10:$AW$75,BX$9,FALSE)-AF63)</f>
        <v>0</v>
      </c>
      <c r="BY63" s="91" t="str">
        <f>IF(AG63="-","-",VLOOKUP($E63,CTPit!$E$10:$AW$75,BY$9,FALSE)-AG63)</f>
        <v>-</v>
      </c>
      <c r="BZ63" s="91" t="str">
        <f>IF(AH63="-","-",VLOOKUP($E63,CTPit!$E$10:$AW$75,BZ$9,FALSE)-AH63)</f>
        <v>-</v>
      </c>
      <c r="CA63" s="91">
        <f>IF(AI63="-","-",VLOOKUP($E63,CTPit!$E$10:$AW$75,CA$9,FALSE)-AI63)</f>
        <v>0</v>
      </c>
      <c r="CB63" s="91">
        <f>IF(AJ63="-","-",VLOOKUP($E63,CTPit!$E$10:$AW$75,CB$9,FALSE)-AJ63)</f>
        <v>0</v>
      </c>
      <c r="CC63" s="91" t="str">
        <f>IF(AK63="-","-",VLOOKUP($E63,CTPit!$E$10:$AW$75,CC$9,FALSE)-AK63)</f>
        <v>-</v>
      </c>
      <c r="CD63" s="91" t="str">
        <f>IF(AL63="-","-",VLOOKUP($E63,CTPit!$E$10:$AW$75,CD$9,FALSE)-AL63)</f>
        <v>-</v>
      </c>
      <c r="CE63" s="91" t="str">
        <f>IF(AM63="-","-",VLOOKUP($E63,CTPit!$E$10:$AW$75,CE$9,FALSE)-AM63)</f>
        <v>-</v>
      </c>
      <c r="CF63" s="91" t="str">
        <f>IF(AN63="-","-",VLOOKUP($E63,CTPit!$E$10:$AW$75,CF$9,FALSE)-AN63)</f>
        <v>-</v>
      </c>
      <c r="CG63" s="91" t="str">
        <f>IF(AO63="-","-",VLOOKUP($E63,CTPit!$E$10:$AW$75,CG$9,FALSE)-AO63)</f>
        <v>-</v>
      </c>
      <c r="CH63" s="91" t="str">
        <f>IF(AP63="-","-",VLOOKUP($E63,CTPit!$E$10:$AW$75,CH$9,FALSE)-AP63)</f>
        <v>-</v>
      </c>
      <c r="CI63" s="91" t="str">
        <f>IF(AQ63="-","-",VLOOKUP($E63,CTPit!$E$10:$AW$75,CI$9,FALSE)-AQ63)</f>
        <v>-</v>
      </c>
      <c r="CJ63" s="91" t="str">
        <f>IF(AR63="-","-",VLOOKUP($E63,CTPit!$E$10:$AW$75,CJ$9,FALSE)-AR63)</f>
        <v>-</v>
      </c>
      <c r="CK63">
        <f t="shared" si="26"/>
        <v>0</v>
      </c>
    </row>
    <row r="64" spans="3:89">
      <c r="C64" t="str">
        <f t="shared" si="16"/>
        <v>K</v>
      </c>
      <c r="D64" t="s">
        <v>111</v>
      </c>
      <c r="E64" t="s">
        <v>409</v>
      </c>
      <c r="F64" t="s">
        <v>383</v>
      </c>
      <c r="G64" t="s">
        <v>327</v>
      </c>
      <c r="H64">
        <v>20</v>
      </c>
      <c r="I64" t="s">
        <v>107</v>
      </c>
      <c r="J64" s="223" t="s">
        <v>107</v>
      </c>
      <c r="K64" t="s">
        <v>47</v>
      </c>
      <c r="L64" t="s">
        <v>42</v>
      </c>
      <c r="M64" t="s">
        <v>231</v>
      </c>
      <c r="N64" s="223" t="s">
        <v>230</v>
      </c>
      <c r="O64">
        <v>5</v>
      </c>
      <c r="P64">
        <v>3</v>
      </c>
      <c r="Q64" s="223">
        <v>3</v>
      </c>
      <c r="R64">
        <v>5</v>
      </c>
      <c r="S64">
        <v>3</v>
      </c>
      <c r="T64" s="223">
        <v>5</v>
      </c>
      <c r="U64">
        <v>6</v>
      </c>
      <c r="V64">
        <v>6</v>
      </c>
      <c r="W64">
        <v>4</v>
      </c>
      <c r="X64">
        <v>4</v>
      </c>
      <c r="Y64">
        <v>2</v>
      </c>
      <c r="Z64">
        <v>3</v>
      </c>
      <c r="AA64" t="s">
        <v>41</v>
      </c>
      <c r="AB64" t="s">
        <v>41</v>
      </c>
      <c r="AC64" t="s">
        <v>41</v>
      </c>
      <c r="AD64" t="s">
        <v>41</v>
      </c>
      <c r="AE64">
        <v>5</v>
      </c>
      <c r="AF64">
        <v>5</v>
      </c>
      <c r="AG64" t="s">
        <v>41</v>
      </c>
      <c r="AH64" t="s">
        <v>41</v>
      </c>
      <c r="AI64">
        <v>5</v>
      </c>
      <c r="AJ64">
        <v>5</v>
      </c>
      <c r="AK64" t="s">
        <v>41</v>
      </c>
      <c r="AL64" t="s">
        <v>41</v>
      </c>
      <c r="AM64" t="s">
        <v>41</v>
      </c>
      <c r="AN64" t="s">
        <v>41</v>
      </c>
      <c r="AO64" t="s">
        <v>41</v>
      </c>
      <c r="AP64" t="s">
        <v>41</v>
      </c>
      <c r="AQ64" t="s">
        <v>41</v>
      </c>
      <c r="AR64" s="223" t="s">
        <v>41</v>
      </c>
      <c r="AS64" t="s">
        <v>252</v>
      </c>
      <c r="AT64">
        <v>9</v>
      </c>
      <c r="AU64" s="11">
        <v>0.36</v>
      </c>
      <c r="AV64" s="85" t="s">
        <v>41</v>
      </c>
      <c r="AW64" s="223">
        <v>0</v>
      </c>
      <c r="AX64" s="6">
        <f t="shared" si="17"/>
        <v>4.4166666666666661</v>
      </c>
      <c r="AY64" s="9" t="str">
        <f t="shared" si="18"/>
        <v>Bench</v>
      </c>
      <c r="AZ64" s="9">
        <f t="shared" si="19"/>
        <v>5.083333333333333</v>
      </c>
      <c r="BA64" s="9" t="str">
        <f t="shared" si="20"/>
        <v>Reg</v>
      </c>
      <c r="BB64" s="9">
        <f t="shared" si="21"/>
        <v>5.083333333333333</v>
      </c>
      <c r="BC64" s="9" t="str">
        <f t="shared" si="22"/>
        <v>Reg</v>
      </c>
      <c r="BD64" s="84">
        <f t="shared" si="23"/>
        <v>5</v>
      </c>
      <c r="BE64" s="83">
        <f t="shared" si="24"/>
        <v>1</v>
      </c>
      <c r="BF64" t="str">
        <f t="shared" si="25"/>
        <v/>
      </c>
      <c r="BG64" s="91">
        <f>IF(O64="-","-",VLOOKUP($E64,CTPit!$E$10:$AW$75,BG$9,FALSE)-O64)</f>
        <v>0</v>
      </c>
      <c r="BH64" s="91">
        <f>IF(P64="-","-",VLOOKUP($E64,CTPit!$E$10:$AW$75,BH$9,FALSE)-P64)</f>
        <v>0</v>
      </c>
      <c r="BI64" s="91">
        <f>IF(Q64="-","-",VLOOKUP($E64,CTPit!$E$10:$AW$75,BI$9,FALSE)-Q64)</f>
        <v>0</v>
      </c>
      <c r="BJ64" s="91">
        <f>IF(R64="-","-",VLOOKUP($E64,CTPit!$E$10:$AW$75,BJ$9,FALSE)-R64)</f>
        <v>0</v>
      </c>
      <c r="BK64" s="91">
        <f>IF(S64="-","-",VLOOKUP($E64,CTPit!$E$10:$AW$75,BK$9,FALSE)-S64)</f>
        <v>0</v>
      </c>
      <c r="BL64" s="91">
        <f>IF(T64="-","-",VLOOKUP($E64,CTPit!$E$10:$AW$75,BL$9,FALSE)-T64)</f>
        <v>0</v>
      </c>
      <c r="BM64" s="91">
        <f>IF(U64="-","-",VLOOKUP($E64,CTPit!$E$10:$AW$75,BM$9,FALSE)-U64)</f>
        <v>0</v>
      </c>
      <c r="BN64" s="91">
        <f>IF(V64="-","-",VLOOKUP($E64,CTPit!$E$10:$AW$75,BN$9,FALSE)-V64)</f>
        <v>0</v>
      </c>
      <c r="BO64" s="91">
        <f>IF(W64="-","-",VLOOKUP($E64,CTPit!$E$10:$AW$75,BO$9,FALSE)-W64)</f>
        <v>0</v>
      </c>
      <c r="BP64" s="91">
        <f>IF(X64="-","-",VLOOKUP($E64,CTPit!$E$10:$AW$75,BP$9,FALSE)-X64)</f>
        <v>0</v>
      </c>
      <c r="BQ64" s="91">
        <f>IF(Y64="-","-",VLOOKUP($E64,CTPit!$E$10:$AW$75,BQ$9,FALSE)-Y64)</f>
        <v>0</v>
      </c>
      <c r="BR64" s="91">
        <f>IF(Z64="-","-",VLOOKUP($E64,CTPit!$E$10:$AW$75,BR$9,FALSE)-Z64)</f>
        <v>0</v>
      </c>
      <c r="BS64" s="91" t="str">
        <f>IF(AA64="-","-",VLOOKUP($E64,CTPit!$E$10:$AW$75,BS$9,FALSE)-AA64)</f>
        <v>-</v>
      </c>
      <c r="BT64" s="91" t="str">
        <f>IF(AB64="-","-",VLOOKUP($E64,CTPit!$E$10:$AW$75,BT$9,FALSE)-AB64)</f>
        <v>-</v>
      </c>
      <c r="BU64" s="91" t="str">
        <f>IF(AC64="-","-",VLOOKUP($E64,CTPit!$E$10:$AW$75,BU$9,FALSE)-AC64)</f>
        <v>-</v>
      </c>
      <c r="BV64" s="91" t="str">
        <f>IF(AD64="-","-",VLOOKUP($E64,CTPit!$E$10:$AW$75,BV$9,FALSE)-AD64)</f>
        <v>-</v>
      </c>
      <c r="BW64" s="91">
        <f>IF(AE64="-","-",VLOOKUP($E64,CTPit!$E$10:$AW$75,BW$9,FALSE)-AE64)</f>
        <v>0</v>
      </c>
      <c r="BX64" s="91">
        <f>IF(AF64="-","-",VLOOKUP($E64,CTPit!$E$10:$AW$75,BX$9,FALSE)-AF64)</f>
        <v>0</v>
      </c>
      <c r="BY64" s="91" t="str">
        <f>IF(AG64="-","-",VLOOKUP($E64,CTPit!$E$10:$AW$75,BY$9,FALSE)-AG64)</f>
        <v>-</v>
      </c>
      <c r="BZ64" s="91" t="str">
        <f>IF(AH64="-","-",VLOOKUP($E64,CTPit!$E$10:$AW$75,BZ$9,FALSE)-AH64)</f>
        <v>-</v>
      </c>
      <c r="CA64" s="91">
        <f>IF(AI64="-","-",VLOOKUP($E64,CTPit!$E$10:$AW$75,CA$9,FALSE)-AI64)</f>
        <v>0</v>
      </c>
      <c r="CB64" s="91">
        <f>IF(AJ64="-","-",VLOOKUP($E64,CTPit!$E$10:$AW$75,CB$9,FALSE)-AJ64)</f>
        <v>0</v>
      </c>
      <c r="CC64" s="91" t="str">
        <f>IF(AK64="-","-",VLOOKUP($E64,CTPit!$E$10:$AW$75,CC$9,FALSE)-AK64)</f>
        <v>-</v>
      </c>
      <c r="CD64" s="91" t="str">
        <f>IF(AL64="-","-",VLOOKUP($E64,CTPit!$E$10:$AW$75,CD$9,FALSE)-AL64)</f>
        <v>-</v>
      </c>
      <c r="CE64" s="91" t="str">
        <f>IF(AM64="-","-",VLOOKUP($E64,CTPit!$E$10:$AW$75,CE$9,FALSE)-AM64)</f>
        <v>-</v>
      </c>
      <c r="CF64" s="91" t="str">
        <f>IF(AN64="-","-",VLOOKUP($E64,CTPit!$E$10:$AW$75,CF$9,FALSE)-AN64)</f>
        <v>-</v>
      </c>
      <c r="CG64" s="91" t="str">
        <f>IF(AO64="-","-",VLOOKUP($E64,CTPit!$E$10:$AW$75,CG$9,FALSE)-AO64)</f>
        <v>-</v>
      </c>
      <c r="CH64" s="91" t="str">
        <f>IF(AP64="-","-",VLOOKUP($E64,CTPit!$E$10:$AW$75,CH$9,FALSE)-AP64)</f>
        <v>-</v>
      </c>
      <c r="CI64" s="91" t="str">
        <f>IF(AQ64="-","-",VLOOKUP($E64,CTPit!$E$10:$AW$75,CI$9,FALSE)-AQ64)</f>
        <v>-</v>
      </c>
      <c r="CJ64" s="91" t="str">
        <f>IF(AR64="-","-",VLOOKUP($E64,CTPit!$E$10:$AW$75,CJ$9,FALSE)-AR64)</f>
        <v>-</v>
      </c>
      <c r="CK64">
        <f t="shared" si="26"/>
        <v>0</v>
      </c>
    </row>
    <row r="65" spans="3:89">
      <c r="C65" t="str">
        <f t="shared" si="16"/>
        <v>K</v>
      </c>
      <c r="D65" t="s">
        <v>110</v>
      </c>
      <c r="E65" t="s">
        <v>349</v>
      </c>
      <c r="F65" t="s">
        <v>386</v>
      </c>
      <c r="G65" t="s">
        <v>215</v>
      </c>
      <c r="H65">
        <v>25</v>
      </c>
      <c r="I65" t="s">
        <v>107</v>
      </c>
      <c r="J65" s="223" t="s">
        <v>107</v>
      </c>
      <c r="K65" t="s">
        <v>47</v>
      </c>
      <c r="L65" t="s">
        <v>42</v>
      </c>
      <c r="M65" t="s">
        <v>231</v>
      </c>
      <c r="N65" s="223" t="s">
        <v>228</v>
      </c>
      <c r="O65">
        <v>4</v>
      </c>
      <c r="P65">
        <v>6</v>
      </c>
      <c r="Q65" s="223">
        <v>3</v>
      </c>
      <c r="R65">
        <v>5</v>
      </c>
      <c r="S65">
        <v>6</v>
      </c>
      <c r="T65" s="223">
        <v>5</v>
      </c>
      <c r="U65">
        <v>5</v>
      </c>
      <c r="V65">
        <v>5</v>
      </c>
      <c r="W65">
        <v>4</v>
      </c>
      <c r="X65">
        <v>4</v>
      </c>
      <c r="Y65">
        <v>5</v>
      </c>
      <c r="Z65">
        <v>5</v>
      </c>
      <c r="AA65" t="s">
        <v>41</v>
      </c>
      <c r="AB65" t="s">
        <v>41</v>
      </c>
      <c r="AC65" t="s">
        <v>41</v>
      </c>
      <c r="AD65" t="s">
        <v>41</v>
      </c>
      <c r="AE65" t="s">
        <v>41</v>
      </c>
      <c r="AF65" t="s">
        <v>41</v>
      </c>
      <c r="AG65" t="s">
        <v>41</v>
      </c>
      <c r="AH65" t="s">
        <v>41</v>
      </c>
      <c r="AI65" t="s">
        <v>41</v>
      </c>
      <c r="AJ65" t="s">
        <v>41</v>
      </c>
      <c r="AK65" t="s">
        <v>41</v>
      </c>
      <c r="AL65" t="s">
        <v>41</v>
      </c>
      <c r="AM65" t="s">
        <v>41</v>
      </c>
      <c r="AN65" t="s">
        <v>41</v>
      </c>
      <c r="AO65" t="s">
        <v>41</v>
      </c>
      <c r="AP65" t="s">
        <v>41</v>
      </c>
      <c r="AQ65" t="s">
        <v>41</v>
      </c>
      <c r="AR65" s="223" t="s">
        <v>41</v>
      </c>
      <c r="AS65" t="s">
        <v>1</v>
      </c>
      <c r="AT65">
        <v>4</v>
      </c>
      <c r="AU65" s="11">
        <v>0.5</v>
      </c>
      <c r="AV65" s="85" t="s">
        <v>41</v>
      </c>
      <c r="AW65" s="223">
        <v>0</v>
      </c>
      <c r="AX65" s="6">
        <f t="shared" si="17"/>
        <v>4.333333333333333</v>
      </c>
      <c r="AY65" s="9" t="str">
        <f t="shared" si="18"/>
        <v>Bench</v>
      </c>
      <c r="AZ65" s="9">
        <f t="shared" si="19"/>
        <v>5.333333333333333</v>
      </c>
      <c r="BA65" s="9" t="str">
        <f t="shared" si="20"/>
        <v>Reg</v>
      </c>
      <c r="BB65" s="9">
        <f t="shared" si="21"/>
        <v>5.333333333333333</v>
      </c>
      <c r="BC65" s="9" t="str">
        <f t="shared" si="22"/>
        <v>Reg</v>
      </c>
      <c r="BD65" s="84">
        <f t="shared" si="23"/>
        <v>3</v>
      </c>
      <c r="BE65" s="83">
        <f t="shared" si="24"/>
        <v>0</v>
      </c>
      <c r="BF65" t="str">
        <f t="shared" si="25"/>
        <v/>
      </c>
      <c r="BG65" s="91">
        <f>IF(O65="-","-",VLOOKUP($E65,CTPit!$E$10:$AW$75,BG$9,FALSE)-O65)</f>
        <v>0</v>
      </c>
      <c r="BH65" s="91">
        <f>IF(P65="-","-",VLOOKUP($E65,CTPit!$E$10:$AW$75,BH$9,FALSE)-P65)</f>
        <v>0</v>
      </c>
      <c r="BI65" s="91">
        <f>IF(Q65="-","-",VLOOKUP($E65,CTPit!$E$10:$AW$75,BI$9,FALSE)-Q65)</f>
        <v>0</v>
      </c>
      <c r="BJ65" s="91">
        <f>IF(R65="-","-",VLOOKUP($E65,CTPit!$E$10:$AW$75,BJ$9,FALSE)-R65)</f>
        <v>0</v>
      </c>
      <c r="BK65" s="91">
        <f>IF(S65="-","-",VLOOKUP($E65,CTPit!$E$10:$AW$75,BK$9,FALSE)-S65)</f>
        <v>0</v>
      </c>
      <c r="BL65" s="91">
        <f>IF(T65="-","-",VLOOKUP($E65,CTPit!$E$10:$AW$75,BL$9,FALSE)-T65)</f>
        <v>0</v>
      </c>
      <c r="BM65" s="91">
        <f>IF(U65="-","-",VLOOKUP($E65,CTPit!$E$10:$AW$75,BM$9,FALSE)-U65)</f>
        <v>0</v>
      </c>
      <c r="BN65" s="91">
        <f>IF(V65="-","-",VLOOKUP($E65,CTPit!$E$10:$AW$75,BN$9,FALSE)-V65)</f>
        <v>0</v>
      </c>
      <c r="BO65" s="91">
        <f>IF(W65="-","-",VLOOKUP($E65,CTPit!$E$10:$AW$75,BO$9,FALSE)-W65)</f>
        <v>0</v>
      </c>
      <c r="BP65" s="91">
        <f>IF(X65="-","-",VLOOKUP($E65,CTPit!$E$10:$AW$75,BP$9,FALSE)-X65)</f>
        <v>0</v>
      </c>
      <c r="BQ65" s="91">
        <f>IF(Y65="-","-",VLOOKUP($E65,CTPit!$E$10:$AW$75,BQ$9,FALSE)-Y65)</f>
        <v>0</v>
      </c>
      <c r="BR65" s="91">
        <f>IF(Z65="-","-",VLOOKUP($E65,CTPit!$E$10:$AW$75,BR$9,FALSE)-Z65)</f>
        <v>0</v>
      </c>
      <c r="BS65" s="91" t="str">
        <f>IF(AA65="-","-",VLOOKUP($E65,CTPit!$E$10:$AW$75,BS$9,FALSE)-AA65)</f>
        <v>-</v>
      </c>
      <c r="BT65" s="91" t="str">
        <f>IF(AB65="-","-",VLOOKUP($E65,CTPit!$E$10:$AW$75,BT$9,FALSE)-AB65)</f>
        <v>-</v>
      </c>
      <c r="BU65" s="91" t="str">
        <f>IF(AC65="-","-",VLOOKUP($E65,CTPit!$E$10:$AW$75,BU$9,FALSE)-AC65)</f>
        <v>-</v>
      </c>
      <c r="BV65" s="91" t="str">
        <f>IF(AD65="-","-",VLOOKUP($E65,CTPit!$E$10:$AW$75,BV$9,FALSE)-AD65)</f>
        <v>-</v>
      </c>
      <c r="BW65" s="91" t="str">
        <f>IF(AE65="-","-",VLOOKUP($E65,CTPit!$E$10:$AW$75,BW$9,FALSE)-AE65)</f>
        <v>-</v>
      </c>
      <c r="BX65" s="91" t="str">
        <f>IF(AF65="-","-",VLOOKUP($E65,CTPit!$E$10:$AW$75,BX$9,FALSE)-AF65)</f>
        <v>-</v>
      </c>
      <c r="BY65" s="91" t="str">
        <f>IF(AG65="-","-",VLOOKUP($E65,CTPit!$E$10:$AW$75,BY$9,FALSE)-AG65)</f>
        <v>-</v>
      </c>
      <c r="BZ65" s="91" t="str">
        <f>IF(AH65="-","-",VLOOKUP($E65,CTPit!$E$10:$AW$75,BZ$9,FALSE)-AH65)</f>
        <v>-</v>
      </c>
      <c r="CA65" s="91" t="str">
        <f>IF(AI65="-","-",VLOOKUP($E65,CTPit!$E$10:$AW$75,CA$9,FALSE)-AI65)</f>
        <v>-</v>
      </c>
      <c r="CB65" s="91" t="str">
        <f>IF(AJ65="-","-",VLOOKUP($E65,CTPit!$E$10:$AW$75,CB$9,FALSE)-AJ65)</f>
        <v>-</v>
      </c>
      <c r="CC65" s="91" t="str">
        <f>IF(AK65="-","-",VLOOKUP($E65,CTPit!$E$10:$AW$75,CC$9,FALSE)-AK65)</f>
        <v>-</v>
      </c>
      <c r="CD65" s="91" t="str">
        <f>IF(AL65="-","-",VLOOKUP($E65,CTPit!$E$10:$AW$75,CD$9,FALSE)-AL65)</f>
        <v>-</v>
      </c>
      <c r="CE65" s="91" t="str">
        <f>IF(AM65="-","-",VLOOKUP($E65,CTPit!$E$10:$AW$75,CE$9,FALSE)-AM65)</f>
        <v>-</v>
      </c>
      <c r="CF65" s="91" t="str">
        <f>IF(AN65="-","-",VLOOKUP($E65,CTPit!$E$10:$AW$75,CF$9,FALSE)-AN65)</f>
        <v>-</v>
      </c>
      <c r="CG65" s="91" t="str">
        <f>IF(AO65="-","-",VLOOKUP($E65,CTPit!$E$10:$AW$75,CG$9,FALSE)-AO65)</f>
        <v>-</v>
      </c>
      <c r="CH65" s="91" t="str">
        <f>IF(AP65="-","-",VLOOKUP($E65,CTPit!$E$10:$AW$75,CH$9,FALSE)-AP65)</f>
        <v>-</v>
      </c>
      <c r="CI65" s="91" t="str">
        <f>IF(AQ65="-","-",VLOOKUP($E65,CTPit!$E$10:$AW$75,CI$9,FALSE)-AQ65)</f>
        <v>-</v>
      </c>
      <c r="CJ65" s="91" t="str">
        <f>IF(AR65="-","-",VLOOKUP($E65,CTPit!$E$10:$AW$75,CJ$9,FALSE)-AR65)</f>
        <v>-</v>
      </c>
      <c r="CK65">
        <f t="shared" si="26"/>
        <v>0</v>
      </c>
    </row>
    <row r="66" spans="3:89">
      <c r="C66" t="str">
        <f t="shared" si="16"/>
        <v>K</v>
      </c>
      <c r="D66" t="s">
        <v>112</v>
      </c>
      <c r="E66" t="s">
        <v>351</v>
      </c>
      <c r="F66" t="s">
        <v>386</v>
      </c>
      <c r="G66" t="s">
        <v>215</v>
      </c>
      <c r="H66">
        <v>22</v>
      </c>
      <c r="I66" t="s">
        <v>107</v>
      </c>
      <c r="J66" s="223" t="s">
        <v>106</v>
      </c>
      <c r="K66" t="s">
        <v>47</v>
      </c>
      <c r="L66" t="s">
        <v>42</v>
      </c>
      <c r="M66" t="s">
        <v>229</v>
      </c>
      <c r="N66" s="223" t="s">
        <v>229</v>
      </c>
      <c r="O66">
        <v>4</v>
      </c>
      <c r="P66">
        <v>5</v>
      </c>
      <c r="Q66" s="223">
        <v>4</v>
      </c>
      <c r="R66">
        <v>4</v>
      </c>
      <c r="S66">
        <v>5</v>
      </c>
      <c r="T66" s="223">
        <v>7</v>
      </c>
      <c r="U66">
        <v>5</v>
      </c>
      <c r="V66">
        <v>5</v>
      </c>
      <c r="W66">
        <v>4</v>
      </c>
      <c r="X66">
        <v>4</v>
      </c>
      <c r="Y66">
        <v>4</v>
      </c>
      <c r="Z66">
        <v>5</v>
      </c>
      <c r="AA66" t="s">
        <v>41</v>
      </c>
      <c r="AB66" t="s">
        <v>41</v>
      </c>
      <c r="AC66" t="s">
        <v>41</v>
      </c>
      <c r="AD66" t="s">
        <v>41</v>
      </c>
      <c r="AE66" t="s">
        <v>41</v>
      </c>
      <c r="AF66" t="s">
        <v>41</v>
      </c>
      <c r="AG66" t="s">
        <v>41</v>
      </c>
      <c r="AH66" t="s">
        <v>41</v>
      </c>
      <c r="AI66" t="s">
        <v>41</v>
      </c>
      <c r="AJ66" t="s">
        <v>41</v>
      </c>
      <c r="AK66" t="s">
        <v>41</v>
      </c>
      <c r="AL66" t="s">
        <v>41</v>
      </c>
      <c r="AM66" t="s">
        <v>41</v>
      </c>
      <c r="AN66" t="s">
        <v>41</v>
      </c>
      <c r="AO66" t="s">
        <v>41</v>
      </c>
      <c r="AP66" t="s">
        <v>41</v>
      </c>
      <c r="AQ66" t="s">
        <v>41</v>
      </c>
      <c r="AR66" s="223" t="s">
        <v>41</v>
      </c>
      <c r="AS66" t="s">
        <v>6</v>
      </c>
      <c r="AT66">
        <v>4</v>
      </c>
      <c r="AU66" s="11">
        <v>0.54</v>
      </c>
      <c r="AV66" s="85" t="s">
        <v>41</v>
      </c>
      <c r="AW66" s="223">
        <v>0</v>
      </c>
      <c r="AX66" s="6">
        <f t="shared" si="17"/>
        <v>4.333333333333333</v>
      </c>
      <c r="AY66" s="9" t="str">
        <f t="shared" si="18"/>
        <v>Bench</v>
      </c>
      <c r="AZ66" s="9">
        <f t="shared" si="19"/>
        <v>5.333333333333333</v>
      </c>
      <c r="BA66" s="9" t="str">
        <f t="shared" si="20"/>
        <v>Reg</v>
      </c>
      <c r="BB66" s="9">
        <f t="shared" si="21"/>
        <v>5.333333333333333</v>
      </c>
      <c r="BC66" s="9" t="str">
        <f t="shared" si="22"/>
        <v>Reg</v>
      </c>
      <c r="BD66" s="84">
        <f t="shared" si="23"/>
        <v>3</v>
      </c>
      <c r="BE66" s="83">
        <f t="shared" si="24"/>
        <v>0</v>
      </c>
      <c r="BF66" t="str">
        <f t="shared" si="25"/>
        <v/>
      </c>
      <c r="BG66" s="91">
        <f>IF(O66="-","-",VLOOKUP($E66,CTPit!$E$10:$AW$75,BG$9,FALSE)-O66)</f>
        <v>0</v>
      </c>
      <c r="BH66" s="91">
        <f>IF(P66="-","-",VLOOKUP($E66,CTPit!$E$10:$AW$75,BH$9,FALSE)-P66)</f>
        <v>0</v>
      </c>
      <c r="BI66" s="91">
        <f>IF(Q66="-","-",VLOOKUP($E66,CTPit!$E$10:$AW$75,BI$9,FALSE)-Q66)</f>
        <v>0</v>
      </c>
      <c r="BJ66" s="91">
        <f>IF(R66="-","-",VLOOKUP($E66,CTPit!$E$10:$AW$75,BJ$9,FALSE)-R66)</f>
        <v>0</v>
      </c>
      <c r="BK66" s="91">
        <f>IF(S66="-","-",VLOOKUP($E66,CTPit!$E$10:$AW$75,BK$9,FALSE)-S66)</f>
        <v>0</v>
      </c>
      <c r="BL66" s="91">
        <f>IF(T66="-","-",VLOOKUP($E66,CTPit!$E$10:$AW$75,BL$9,FALSE)-T66)</f>
        <v>0</v>
      </c>
      <c r="BM66" s="91">
        <f>IF(U66="-","-",VLOOKUP($E66,CTPit!$E$10:$AW$75,BM$9,FALSE)-U66)</f>
        <v>0</v>
      </c>
      <c r="BN66" s="91">
        <f>IF(V66="-","-",VLOOKUP($E66,CTPit!$E$10:$AW$75,BN$9,FALSE)-V66)</f>
        <v>0</v>
      </c>
      <c r="BO66" s="91">
        <f>IF(W66="-","-",VLOOKUP($E66,CTPit!$E$10:$AW$75,BO$9,FALSE)-W66)</f>
        <v>0</v>
      </c>
      <c r="BP66" s="91">
        <f>IF(X66="-","-",VLOOKUP($E66,CTPit!$E$10:$AW$75,BP$9,FALSE)-X66)</f>
        <v>0</v>
      </c>
      <c r="BQ66" s="91">
        <f>IF(Y66="-","-",VLOOKUP($E66,CTPit!$E$10:$AW$75,BQ$9,FALSE)-Y66)</f>
        <v>0</v>
      </c>
      <c r="BR66" s="91">
        <f>IF(Z66="-","-",VLOOKUP($E66,CTPit!$E$10:$AW$75,BR$9,FALSE)-Z66)</f>
        <v>0</v>
      </c>
      <c r="BS66" s="91" t="str">
        <f>IF(AA66="-","-",VLOOKUP($E66,CTPit!$E$10:$AW$75,BS$9,FALSE)-AA66)</f>
        <v>-</v>
      </c>
      <c r="BT66" s="91" t="str">
        <f>IF(AB66="-","-",VLOOKUP($E66,CTPit!$E$10:$AW$75,BT$9,FALSE)-AB66)</f>
        <v>-</v>
      </c>
      <c r="BU66" s="91" t="str">
        <f>IF(AC66="-","-",VLOOKUP($E66,CTPit!$E$10:$AW$75,BU$9,FALSE)-AC66)</f>
        <v>-</v>
      </c>
      <c r="BV66" s="91" t="str">
        <f>IF(AD66="-","-",VLOOKUP($E66,CTPit!$E$10:$AW$75,BV$9,FALSE)-AD66)</f>
        <v>-</v>
      </c>
      <c r="BW66" s="91" t="str">
        <f>IF(AE66="-","-",VLOOKUP($E66,CTPit!$E$10:$AW$75,BW$9,FALSE)-AE66)</f>
        <v>-</v>
      </c>
      <c r="BX66" s="91" t="str">
        <f>IF(AF66="-","-",VLOOKUP($E66,CTPit!$E$10:$AW$75,BX$9,FALSE)-AF66)</f>
        <v>-</v>
      </c>
      <c r="BY66" s="91" t="str">
        <f>IF(AG66="-","-",VLOOKUP($E66,CTPit!$E$10:$AW$75,BY$9,FALSE)-AG66)</f>
        <v>-</v>
      </c>
      <c r="BZ66" s="91" t="str">
        <f>IF(AH66="-","-",VLOOKUP($E66,CTPit!$E$10:$AW$75,BZ$9,FALSE)-AH66)</f>
        <v>-</v>
      </c>
      <c r="CA66" s="91" t="str">
        <f>IF(AI66="-","-",VLOOKUP($E66,CTPit!$E$10:$AW$75,CA$9,FALSE)-AI66)</f>
        <v>-</v>
      </c>
      <c r="CB66" s="91" t="str">
        <f>IF(AJ66="-","-",VLOOKUP($E66,CTPit!$E$10:$AW$75,CB$9,FALSE)-AJ66)</f>
        <v>-</v>
      </c>
      <c r="CC66" s="91" t="str">
        <f>IF(AK66="-","-",VLOOKUP($E66,CTPit!$E$10:$AW$75,CC$9,FALSE)-AK66)</f>
        <v>-</v>
      </c>
      <c r="CD66" s="91" t="str">
        <f>IF(AL66="-","-",VLOOKUP($E66,CTPit!$E$10:$AW$75,CD$9,FALSE)-AL66)</f>
        <v>-</v>
      </c>
      <c r="CE66" s="91" t="str">
        <f>IF(AM66="-","-",VLOOKUP($E66,CTPit!$E$10:$AW$75,CE$9,FALSE)-AM66)</f>
        <v>-</v>
      </c>
      <c r="CF66" s="91" t="str">
        <f>IF(AN66="-","-",VLOOKUP($E66,CTPit!$E$10:$AW$75,CF$9,FALSE)-AN66)</f>
        <v>-</v>
      </c>
      <c r="CG66" s="91" t="str">
        <f>IF(AO66="-","-",VLOOKUP($E66,CTPit!$E$10:$AW$75,CG$9,FALSE)-AO66)</f>
        <v>-</v>
      </c>
      <c r="CH66" s="91" t="str">
        <f>IF(AP66="-","-",VLOOKUP($E66,CTPit!$E$10:$AW$75,CH$9,FALSE)-AP66)</f>
        <v>-</v>
      </c>
      <c r="CI66" s="91" t="str">
        <f>IF(AQ66="-","-",VLOOKUP($E66,CTPit!$E$10:$AW$75,CI$9,FALSE)-AQ66)</f>
        <v>-</v>
      </c>
      <c r="CJ66" s="91" t="str">
        <f>IF(AR66="-","-",VLOOKUP($E66,CTPit!$E$10:$AW$75,CJ$9,FALSE)-AR66)</f>
        <v>-</v>
      </c>
      <c r="CK66">
        <f t="shared" si="26"/>
        <v>0</v>
      </c>
    </row>
    <row r="67" spans="3:89">
      <c r="C67" t="str">
        <f t="shared" si="16"/>
        <v>K</v>
      </c>
      <c r="D67" t="s">
        <v>110</v>
      </c>
      <c r="E67" t="s">
        <v>420</v>
      </c>
      <c r="F67" t="s">
        <v>385</v>
      </c>
      <c r="G67" t="s">
        <v>214</v>
      </c>
      <c r="H67">
        <v>24</v>
      </c>
      <c r="I67" t="s">
        <v>107</v>
      </c>
      <c r="J67" s="223" t="s">
        <v>107</v>
      </c>
      <c r="K67" t="s">
        <v>47</v>
      </c>
      <c r="L67" t="s">
        <v>42</v>
      </c>
      <c r="M67" t="s">
        <v>231</v>
      </c>
      <c r="N67" s="223" t="s">
        <v>228</v>
      </c>
      <c r="O67">
        <v>5</v>
      </c>
      <c r="P67">
        <v>4</v>
      </c>
      <c r="Q67" s="223">
        <v>3</v>
      </c>
      <c r="R67">
        <v>6</v>
      </c>
      <c r="S67">
        <v>4</v>
      </c>
      <c r="T67" s="223">
        <v>4</v>
      </c>
      <c r="U67">
        <v>7</v>
      </c>
      <c r="V67">
        <v>7</v>
      </c>
      <c r="W67" t="s">
        <v>41</v>
      </c>
      <c r="X67" t="s">
        <v>41</v>
      </c>
      <c r="Y67">
        <v>3</v>
      </c>
      <c r="Z67">
        <v>3</v>
      </c>
      <c r="AA67" t="s">
        <v>41</v>
      </c>
      <c r="AB67" t="s">
        <v>41</v>
      </c>
      <c r="AC67" t="s">
        <v>41</v>
      </c>
      <c r="AD67" t="s">
        <v>41</v>
      </c>
      <c r="AE67" t="s">
        <v>41</v>
      </c>
      <c r="AF67" t="s">
        <v>41</v>
      </c>
      <c r="AG67" t="s">
        <v>41</v>
      </c>
      <c r="AH67" t="s">
        <v>41</v>
      </c>
      <c r="AI67" t="s">
        <v>41</v>
      </c>
      <c r="AJ67" t="s">
        <v>41</v>
      </c>
      <c r="AK67">
        <v>5</v>
      </c>
      <c r="AL67">
        <v>6</v>
      </c>
      <c r="AM67" t="s">
        <v>41</v>
      </c>
      <c r="AN67" t="s">
        <v>41</v>
      </c>
      <c r="AO67" t="s">
        <v>41</v>
      </c>
      <c r="AP67" t="s">
        <v>41</v>
      </c>
      <c r="AQ67" t="s">
        <v>41</v>
      </c>
      <c r="AR67" s="223" t="s">
        <v>41</v>
      </c>
      <c r="AS67" t="s">
        <v>15</v>
      </c>
      <c r="AT67">
        <v>5</v>
      </c>
      <c r="AU67" s="11">
        <v>0.48</v>
      </c>
      <c r="AV67" s="85" t="s">
        <v>41</v>
      </c>
      <c r="AW67" s="223">
        <v>0</v>
      </c>
      <c r="AX67" s="6">
        <f t="shared" si="17"/>
        <v>4.25</v>
      </c>
      <c r="AY67" s="9" t="str">
        <f t="shared" si="18"/>
        <v>Bench</v>
      </c>
      <c r="AZ67" s="9">
        <f t="shared" si="19"/>
        <v>4.916666666666667</v>
      </c>
      <c r="BA67" s="9" t="str">
        <f t="shared" si="20"/>
        <v>Bench</v>
      </c>
      <c r="BB67" s="9">
        <f t="shared" si="21"/>
        <v>4.916666666666667</v>
      </c>
      <c r="BC67" s="9" t="str">
        <f t="shared" si="22"/>
        <v>Bench</v>
      </c>
      <c r="BD67" s="84">
        <f t="shared" si="23"/>
        <v>3</v>
      </c>
      <c r="BE67" s="83">
        <f t="shared" si="24"/>
        <v>1.5</v>
      </c>
      <c r="BF67" t="str">
        <f t="shared" si="25"/>
        <v/>
      </c>
      <c r="BG67" s="91">
        <f>IF(O67="-","-",VLOOKUP($E67,CTPit!$E$10:$AW$75,BG$9,FALSE)-O67)</f>
        <v>0</v>
      </c>
      <c r="BH67" s="91">
        <f>IF(P67="-","-",VLOOKUP($E67,CTPit!$E$10:$AW$75,BH$9,FALSE)-P67)</f>
        <v>0</v>
      </c>
      <c r="BI67" s="91">
        <f>IF(Q67="-","-",VLOOKUP($E67,CTPit!$E$10:$AW$75,BI$9,FALSE)-Q67)</f>
        <v>0</v>
      </c>
      <c r="BJ67" s="91">
        <f>IF(R67="-","-",VLOOKUP($E67,CTPit!$E$10:$AW$75,BJ$9,FALSE)-R67)</f>
        <v>0</v>
      </c>
      <c r="BK67" s="91">
        <f>IF(S67="-","-",VLOOKUP($E67,CTPit!$E$10:$AW$75,BK$9,FALSE)-S67)</f>
        <v>0</v>
      </c>
      <c r="BL67" s="91">
        <f>IF(T67="-","-",VLOOKUP($E67,CTPit!$E$10:$AW$75,BL$9,FALSE)-T67)</f>
        <v>0</v>
      </c>
      <c r="BM67" s="91">
        <f>IF(U67="-","-",VLOOKUP($E67,CTPit!$E$10:$AW$75,BM$9,FALSE)-U67)</f>
        <v>0</v>
      </c>
      <c r="BN67" s="91">
        <f>IF(V67="-","-",VLOOKUP($E67,CTPit!$E$10:$AW$75,BN$9,FALSE)-V67)</f>
        <v>0</v>
      </c>
      <c r="BO67" s="91" t="str">
        <f>IF(W67="-","-",VLOOKUP($E67,CTPit!$E$10:$AW$75,BO$9,FALSE)-W67)</f>
        <v>-</v>
      </c>
      <c r="BP67" s="91" t="str">
        <f>IF(X67="-","-",VLOOKUP($E67,CTPit!$E$10:$AW$75,BP$9,FALSE)-X67)</f>
        <v>-</v>
      </c>
      <c r="BQ67" s="91">
        <f>IF(Y67="-","-",VLOOKUP($E67,CTPit!$E$10:$AW$75,BQ$9,FALSE)-Y67)</f>
        <v>0</v>
      </c>
      <c r="BR67" s="91">
        <f>IF(Z67="-","-",VLOOKUP($E67,CTPit!$E$10:$AW$75,BR$9,FALSE)-Z67)</f>
        <v>0</v>
      </c>
      <c r="BS67" s="91" t="str">
        <f>IF(AA67="-","-",VLOOKUP($E67,CTPit!$E$10:$AW$75,BS$9,FALSE)-AA67)</f>
        <v>-</v>
      </c>
      <c r="BT67" s="91" t="str">
        <f>IF(AB67="-","-",VLOOKUP($E67,CTPit!$E$10:$AW$75,BT$9,FALSE)-AB67)</f>
        <v>-</v>
      </c>
      <c r="BU67" s="91" t="str">
        <f>IF(AC67="-","-",VLOOKUP($E67,CTPit!$E$10:$AW$75,BU$9,FALSE)-AC67)</f>
        <v>-</v>
      </c>
      <c r="BV67" s="91" t="str">
        <f>IF(AD67="-","-",VLOOKUP($E67,CTPit!$E$10:$AW$75,BV$9,FALSE)-AD67)</f>
        <v>-</v>
      </c>
      <c r="BW67" s="91" t="str">
        <f>IF(AE67="-","-",VLOOKUP($E67,CTPit!$E$10:$AW$75,BW$9,FALSE)-AE67)</f>
        <v>-</v>
      </c>
      <c r="BX67" s="91" t="str">
        <f>IF(AF67="-","-",VLOOKUP($E67,CTPit!$E$10:$AW$75,BX$9,FALSE)-AF67)</f>
        <v>-</v>
      </c>
      <c r="BY67" s="91" t="str">
        <f>IF(AG67="-","-",VLOOKUP($E67,CTPit!$E$10:$AW$75,BY$9,FALSE)-AG67)</f>
        <v>-</v>
      </c>
      <c r="BZ67" s="91" t="str">
        <f>IF(AH67="-","-",VLOOKUP($E67,CTPit!$E$10:$AW$75,BZ$9,FALSE)-AH67)</f>
        <v>-</v>
      </c>
      <c r="CA67" s="91" t="str">
        <f>IF(AI67="-","-",VLOOKUP($E67,CTPit!$E$10:$AW$75,CA$9,FALSE)-AI67)</f>
        <v>-</v>
      </c>
      <c r="CB67" s="91" t="str">
        <f>IF(AJ67="-","-",VLOOKUP($E67,CTPit!$E$10:$AW$75,CB$9,FALSE)-AJ67)</f>
        <v>-</v>
      </c>
      <c r="CC67" s="91">
        <f>IF(AK67="-","-",VLOOKUP($E67,CTPit!$E$10:$AW$75,CC$9,FALSE)-AK67)</f>
        <v>0</v>
      </c>
      <c r="CD67" s="91">
        <f>IF(AL67="-","-",VLOOKUP($E67,CTPit!$E$10:$AW$75,CD$9,FALSE)-AL67)</f>
        <v>0</v>
      </c>
      <c r="CE67" s="91" t="str">
        <f>IF(AM67="-","-",VLOOKUP($E67,CTPit!$E$10:$AW$75,CE$9,FALSE)-AM67)</f>
        <v>-</v>
      </c>
      <c r="CF67" s="91" t="str">
        <f>IF(AN67="-","-",VLOOKUP($E67,CTPit!$E$10:$AW$75,CF$9,FALSE)-AN67)</f>
        <v>-</v>
      </c>
      <c r="CG67" s="91" t="str">
        <f>IF(AO67="-","-",VLOOKUP($E67,CTPit!$E$10:$AW$75,CG$9,FALSE)-AO67)</f>
        <v>-</v>
      </c>
      <c r="CH67" s="91" t="str">
        <f>IF(AP67="-","-",VLOOKUP($E67,CTPit!$E$10:$AW$75,CH$9,FALSE)-AP67)</f>
        <v>-</v>
      </c>
      <c r="CI67" s="91" t="str">
        <f>IF(AQ67="-","-",VLOOKUP($E67,CTPit!$E$10:$AW$75,CI$9,FALSE)-AQ67)</f>
        <v>-</v>
      </c>
      <c r="CJ67" s="91" t="str">
        <f>IF(AR67="-","-",VLOOKUP($E67,CTPit!$E$10:$AW$75,CJ$9,FALSE)-AR67)</f>
        <v>-</v>
      </c>
      <c r="CK67">
        <f t="shared" si="26"/>
        <v>0</v>
      </c>
    </row>
    <row r="68" spans="3:89">
      <c r="C68" t="str">
        <f t="shared" si="16"/>
        <v>K</v>
      </c>
      <c r="D68" t="s">
        <v>111</v>
      </c>
      <c r="E68" t="s">
        <v>411</v>
      </c>
      <c r="F68" t="s">
        <v>386</v>
      </c>
      <c r="G68" t="s">
        <v>215</v>
      </c>
      <c r="H68">
        <v>20</v>
      </c>
      <c r="I68" t="s">
        <v>107</v>
      </c>
      <c r="J68" s="223" t="s">
        <v>107</v>
      </c>
      <c r="K68" t="s">
        <v>47</v>
      </c>
      <c r="L68" t="s">
        <v>42</v>
      </c>
      <c r="M68" t="s">
        <v>228</v>
      </c>
      <c r="N68" s="223" t="s">
        <v>229</v>
      </c>
      <c r="O68">
        <v>5</v>
      </c>
      <c r="P68">
        <v>4</v>
      </c>
      <c r="Q68" s="223">
        <v>3</v>
      </c>
      <c r="R68">
        <v>5</v>
      </c>
      <c r="S68">
        <v>5</v>
      </c>
      <c r="T68" s="223">
        <v>6</v>
      </c>
      <c r="U68">
        <v>5</v>
      </c>
      <c r="V68">
        <v>5</v>
      </c>
      <c r="W68">
        <v>5</v>
      </c>
      <c r="X68">
        <v>5</v>
      </c>
      <c r="Y68">
        <v>4</v>
      </c>
      <c r="Z68">
        <v>5</v>
      </c>
      <c r="AA68">
        <v>5</v>
      </c>
      <c r="AB68">
        <v>5</v>
      </c>
      <c r="AC68" t="s">
        <v>41</v>
      </c>
      <c r="AD68" t="s">
        <v>41</v>
      </c>
      <c r="AE68" t="s">
        <v>41</v>
      </c>
      <c r="AF68" t="s">
        <v>41</v>
      </c>
      <c r="AG68" t="s">
        <v>41</v>
      </c>
      <c r="AH68" t="s">
        <v>41</v>
      </c>
      <c r="AI68" t="s">
        <v>41</v>
      </c>
      <c r="AJ68" t="s">
        <v>41</v>
      </c>
      <c r="AK68" t="s">
        <v>41</v>
      </c>
      <c r="AL68" t="s">
        <v>41</v>
      </c>
      <c r="AM68" t="s">
        <v>41</v>
      </c>
      <c r="AN68" t="s">
        <v>41</v>
      </c>
      <c r="AO68" t="s">
        <v>41</v>
      </c>
      <c r="AP68" t="s">
        <v>41</v>
      </c>
      <c r="AQ68" t="s">
        <v>41</v>
      </c>
      <c r="AR68" s="223" t="s">
        <v>41</v>
      </c>
      <c r="AS68" t="s">
        <v>2</v>
      </c>
      <c r="AT68">
        <v>9</v>
      </c>
      <c r="AU68" s="11">
        <v>0.46</v>
      </c>
      <c r="AV68" s="85" t="s">
        <v>41</v>
      </c>
      <c r="AW68" s="223">
        <v>0</v>
      </c>
      <c r="AX68" s="6">
        <f t="shared" si="17"/>
        <v>4.25</v>
      </c>
      <c r="AY68" s="9" t="str">
        <f t="shared" si="18"/>
        <v>Bench</v>
      </c>
      <c r="AZ68" s="9">
        <f t="shared" si="19"/>
        <v>5.583333333333333</v>
      </c>
      <c r="BA68" s="9" t="str">
        <f t="shared" si="20"/>
        <v>Reg</v>
      </c>
      <c r="BB68" s="9">
        <f t="shared" si="21"/>
        <v>5.583333333333333</v>
      </c>
      <c r="BC68" s="9" t="str">
        <f t="shared" si="22"/>
        <v>Reg</v>
      </c>
      <c r="BD68" s="84">
        <f t="shared" si="23"/>
        <v>4</v>
      </c>
      <c r="BE68" s="83">
        <f t="shared" si="24"/>
        <v>0</v>
      </c>
      <c r="BF68" t="str">
        <f t="shared" si="25"/>
        <v/>
      </c>
      <c r="BG68" s="91">
        <f>IF(O68="-","-",VLOOKUP($E68,CTPit!$E$10:$AW$75,BG$9,FALSE)-O68)</f>
        <v>0</v>
      </c>
      <c r="BH68" s="91">
        <f>IF(P68="-","-",VLOOKUP($E68,CTPit!$E$10:$AW$75,BH$9,FALSE)-P68)</f>
        <v>0</v>
      </c>
      <c r="BI68" s="91">
        <f>IF(Q68="-","-",VLOOKUP($E68,CTPit!$E$10:$AW$75,BI$9,FALSE)-Q68)</f>
        <v>0</v>
      </c>
      <c r="BJ68" s="91">
        <f>IF(R68="-","-",VLOOKUP($E68,CTPit!$E$10:$AW$75,BJ$9,FALSE)-R68)</f>
        <v>0</v>
      </c>
      <c r="BK68" s="91">
        <f>IF(S68="-","-",VLOOKUP($E68,CTPit!$E$10:$AW$75,BK$9,FALSE)-S68)</f>
        <v>0</v>
      </c>
      <c r="BL68" s="91">
        <f>IF(T68="-","-",VLOOKUP($E68,CTPit!$E$10:$AW$75,BL$9,FALSE)-T68)</f>
        <v>0</v>
      </c>
      <c r="BM68" s="91">
        <f>IF(U68="-","-",VLOOKUP($E68,CTPit!$E$10:$AW$75,BM$9,FALSE)-U68)</f>
        <v>0</v>
      </c>
      <c r="BN68" s="91">
        <f>IF(V68="-","-",VLOOKUP($E68,CTPit!$E$10:$AW$75,BN$9,FALSE)-V68)</f>
        <v>0</v>
      </c>
      <c r="BO68" s="91">
        <f>IF(W68="-","-",VLOOKUP($E68,CTPit!$E$10:$AW$75,BO$9,FALSE)-W68)</f>
        <v>0</v>
      </c>
      <c r="BP68" s="91">
        <f>IF(X68="-","-",VLOOKUP($E68,CTPit!$E$10:$AW$75,BP$9,FALSE)-X68)</f>
        <v>0</v>
      </c>
      <c r="BQ68" s="91">
        <f>IF(Y68="-","-",VLOOKUP($E68,CTPit!$E$10:$AW$75,BQ$9,FALSE)-Y68)</f>
        <v>0</v>
      </c>
      <c r="BR68" s="91">
        <f>IF(Z68="-","-",VLOOKUP($E68,CTPit!$E$10:$AW$75,BR$9,FALSE)-Z68)</f>
        <v>0</v>
      </c>
      <c r="BS68" s="91">
        <f>IF(AA68="-","-",VLOOKUP($E68,CTPit!$E$10:$AW$75,BS$9,FALSE)-AA68)</f>
        <v>0</v>
      </c>
      <c r="BT68" s="91">
        <f>IF(AB68="-","-",VLOOKUP($E68,CTPit!$E$10:$AW$75,BT$9,FALSE)-AB68)</f>
        <v>0</v>
      </c>
      <c r="BU68" s="91" t="str">
        <f>IF(AC68="-","-",VLOOKUP($E68,CTPit!$E$10:$AW$75,BU$9,FALSE)-AC68)</f>
        <v>-</v>
      </c>
      <c r="BV68" s="91" t="str">
        <f>IF(AD68="-","-",VLOOKUP($E68,CTPit!$E$10:$AW$75,BV$9,FALSE)-AD68)</f>
        <v>-</v>
      </c>
      <c r="BW68" s="91" t="str">
        <f>IF(AE68="-","-",VLOOKUP($E68,CTPit!$E$10:$AW$75,BW$9,FALSE)-AE68)</f>
        <v>-</v>
      </c>
      <c r="BX68" s="91" t="str">
        <f>IF(AF68="-","-",VLOOKUP($E68,CTPit!$E$10:$AW$75,BX$9,FALSE)-AF68)</f>
        <v>-</v>
      </c>
      <c r="BY68" s="91" t="str">
        <f>IF(AG68="-","-",VLOOKUP($E68,CTPit!$E$10:$AW$75,BY$9,FALSE)-AG68)</f>
        <v>-</v>
      </c>
      <c r="BZ68" s="91" t="str">
        <f>IF(AH68="-","-",VLOOKUP($E68,CTPit!$E$10:$AW$75,BZ$9,FALSE)-AH68)</f>
        <v>-</v>
      </c>
      <c r="CA68" s="91" t="str">
        <f>IF(AI68="-","-",VLOOKUP($E68,CTPit!$E$10:$AW$75,CA$9,FALSE)-AI68)</f>
        <v>-</v>
      </c>
      <c r="CB68" s="91" t="str">
        <f>IF(AJ68="-","-",VLOOKUP($E68,CTPit!$E$10:$AW$75,CB$9,FALSE)-AJ68)</f>
        <v>-</v>
      </c>
      <c r="CC68" s="91" t="str">
        <f>IF(AK68="-","-",VLOOKUP($E68,CTPit!$E$10:$AW$75,CC$9,FALSE)-AK68)</f>
        <v>-</v>
      </c>
      <c r="CD68" s="91" t="str">
        <f>IF(AL68="-","-",VLOOKUP($E68,CTPit!$E$10:$AW$75,CD$9,FALSE)-AL68)</f>
        <v>-</v>
      </c>
      <c r="CE68" s="91" t="str">
        <f>IF(AM68="-","-",VLOOKUP($E68,CTPit!$E$10:$AW$75,CE$9,FALSE)-AM68)</f>
        <v>-</v>
      </c>
      <c r="CF68" s="91" t="str">
        <f>IF(AN68="-","-",VLOOKUP($E68,CTPit!$E$10:$AW$75,CF$9,FALSE)-AN68)</f>
        <v>-</v>
      </c>
      <c r="CG68" s="91" t="str">
        <f>IF(AO68="-","-",VLOOKUP($E68,CTPit!$E$10:$AW$75,CG$9,FALSE)-AO68)</f>
        <v>-</v>
      </c>
      <c r="CH68" s="91" t="str">
        <f>IF(AP68="-","-",VLOOKUP($E68,CTPit!$E$10:$AW$75,CH$9,FALSE)-AP68)</f>
        <v>-</v>
      </c>
      <c r="CI68" s="91" t="str">
        <f>IF(AQ68="-","-",VLOOKUP($E68,CTPit!$E$10:$AW$75,CI$9,FALSE)-AQ68)</f>
        <v>-</v>
      </c>
      <c r="CJ68" s="91" t="str">
        <f>IF(AR68="-","-",VLOOKUP($E68,CTPit!$E$10:$AW$75,CJ$9,FALSE)-AR68)</f>
        <v>-</v>
      </c>
      <c r="CK68">
        <f t="shared" si="26"/>
        <v>0</v>
      </c>
    </row>
    <row r="69" spans="3:89">
      <c r="C69" t="str">
        <f t="shared" si="16"/>
        <v>K</v>
      </c>
      <c r="D69" t="s">
        <v>110</v>
      </c>
      <c r="E69" t="s">
        <v>422</v>
      </c>
      <c r="F69" t="s">
        <v>385</v>
      </c>
      <c r="G69" t="s">
        <v>214</v>
      </c>
      <c r="H69">
        <v>23</v>
      </c>
      <c r="I69" t="s">
        <v>109</v>
      </c>
      <c r="J69" s="223" t="s">
        <v>107</v>
      </c>
      <c r="K69" t="s">
        <v>47</v>
      </c>
      <c r="L69" t="s">
        <v>47</v>
      </c>
      <c r="M69" t="s">
        <v>230</v>
      </c>
      <c r="N69" s="223" t="s">
        <v>229</v>
      </c>
      <c r="O69">
        <v>5</v>
      </c>
      <c r="P69">
        <v>4</v>
      </c>
      <c r="Q69" s="223">
        <v>3</v>
      </c>
      <c r="R69">
        <v>5</v>
      </c>
      <c r="S69">
        <v>4</v>
      </c>
      <c r="T69" s="223">
        <v>4</v>
      </c>
      <c r="U69">
        <v>6</v>
      </c>
      <c r="V69">
        <v>6</v>
      </c>
      <c r="W69" t="s">
        <v>41</v>
      </c>
      <c r="X69" t="s">
        <v>41</v>
      </c>
      <c r="Y69">
        <v>4</v>
      </c>
      <c r="Z69">
        <v>5</v>
      </c>
      <c r="AA69" t="s">
        <v>41</v>
      </c>
      <c r="AB69" t="s">
        <v>41</v>
      </c>
      <c r="AC69" t="s">
        <v>41</v>
      </c>
      <c r="AD69" t="s">
        <v>41</v>
      </c>
      <c r="AE69" t="s">
        <v>41</v>
      </c>
      <c r="AF69" t="s">
        <v>41</v>
      </c>
      <c r="AG69" t="s">
        <v>41</v>
      </c>
      <c r="AH69" t="s">
        <v>41</v>
      </c>
      <c r="AI69" t="s">
        <v>41</v>
      </c>
      <c r="AJ69" t="s">
        <v>41</v>
      </c>
      <c r="AK69" t="s">
        <v>41</v>
      </c>
      <c r="AL69" t="s">
        <v>41</v>
      </c>
      <c r="AM69" t="s">
        <v>41</v>
      </c>
      <c r="AN69" t="s">
        <v>41</v>
      </c>
      <c r="AO69" t="s">
        <v>41</v>
      </c>
      <c r="AP69" t="s">
        <v>41</v>
      </c>
      <c r="AQ69" t="s">
        <v>41</v>
      </c>
      <c r="AR69" s="223" t="s">
        <v>41</v>
      </c>
      <c r="AS69" t="s">
        <v>11</v>
      </c>
      <c r="AT69">
        <v>3</v>
      </c>
      <c r="AU69" s="11">
        <v>0.37</v>
      </c>
      <c r="AV69" s="85" t="s">
        <v>41</v>
      </c>
      <c r="AW69" s="223">
        <v>0</v>
      </c>
      <c r="AX69" s="6">
        <f t="shared" si="17"/>
        <v>4.25</v>
      </c>
      <c r="AY69" s="9" t="str">
        <f t="shared" si="18"/>
        <v>Bench</v>
      </c>
      <c r="AZ69" s="9">
        <f t="shared" si="19"/>
        <v>4.583333333333333</v>
      </c>
      <c r="BA69" s="9" t="str">
        <f t="shared" si="20"/>
        <v>Bench</v>
      </c>
      <c r="BB69" s="9">
        <f t="shared" si="21"/>
        <v>4.583333333333333</v>
      </c>
      <c r="BC69" s="9" t="str">
        <f t="shared" si="22"/>
        <v>Bench</v>
      </c>
      <c r="BD69" s="84">
        <f t="shared" si="23"/>
        <v>2</v>
      </c>
      <c r="BE69" s="83">
        <f t="shared" si="24"/>
        <v>1</v>
      </c>
      <c r="BF69" t="str">
        <f t="shared" si="25"/>
        <v/>
      </c>
      <c r="BG69" s="91">
        <f>IF(O69="-","-",VLOOKUP($E69,CTPit!$E$10:$AW$75,BG$9,FALSE)-O69)</f>
        <v>0</v>
      </c>
      <c r="BH69" s="91">
        <f>IF(P69="-","-",VLOOKUP($E69,CTPit!$E$10:$AW$75,BH$9,FALSE)-P69)</f>
        <v>0</v>
      </c>
      <c r="BI69" s="91">
        <f>IF(Q69="-","-",VLOOKUP($E69,CTPit!$E$10:$AW$75,BI$9,FALSE)-Q69)</f>
        <v>0</v>
      </c>
      <c r="BJ69" s="91">
        <f>IF(R69="-","-",VLOOKUP($E69,CTPit!$E$10:$AW$75,BJ$9,FALSE)-R69)</f>
        <v>0</v>
      </c>
      <c r="BK69" s="91">
        <f>IF(S69="-","-",VLOOKUP($E69,CTPit!$E$10:$AW$75,BK$9,FALSE)-S69)</f>
        <v>0</v>
      </c>
      <c r="BL69" s="91">
        <f>IF(T69="-","-",VLOOKUP($E69,CTPit!$E$10:$AW$75,BL$9,FALSE)-T69)</f>
        <v>0</v>
      </c>
      <c r="BM69" s="91">
        <f>IF(U69="-","-",VLOOKUP($E69,CTPit!$E$10:$AW$75,BM$9,FALSE)-U69)</f>
        <v>0</v>
      </c>
      <c r="BN69" s="91">
        <f>IF(V69="-","-",VLOOKUP($E69,CTPit!$E$10:$AW$75,BN$9,FALSE)-V69)</f>
        <v>0</v>
      </c>
      <c r="BO69" s="91" t="str">
        <f>IF(W69="-","-",VLOOKUP($E69,CTPit!$E$10:$AW$75,BO$9,FALSE)-W69)</f>
        <v>-</v>
      </c>
      <c r="BP69" s="91" t="str">
        <f>IF(X69="-","-",VLOOKUP($E69,CTPit!$E$10:$AW$75,BP$9,FALSE)-X69)</f>
        <v>-</v>
      </c>
      <c r="BQ69" s="91">
        <f>IF(Y69="-","-",VLOOKUP($E69,CTPit!$E$10:$AW$75,BQ$9,FALSE)-Y69)</f>
        <v>0</v>
      </c>
      <c r="BR69" s="91">
        <f>IF(Z69="-","-",VLOOKUP($E69,CTPit!$E$10:$AW$75,BR$9,FALSE)-Z69)</f>
        <v>0</v>
      </c>
      <c r="BS69" s="91" t="str">
        <f>IF(AA69="-","-",VLOOKUP($E69,CTPit!$E$10:$AW$75,BS$9,FALSE)-AA69)</f>
        <v>-</v>
      </c>
      <c r="BT69" s="91" t="str">
        <f>IF(AB69="-","-",VLOOKUP($E69,CTPit!$E$10:$AW$75,BT$9,FALSE)-AB69)</f>
        <v>-</v>
      </c>
      <c r="BU69" s="91" t="str">
        <f>IF(AC69="-","-",VLOOKUP($E69,CTPit!$E$10:$AW$75,BU$9,FALSE)-AC69)</f>
        <v>-</v>
      </c>
      <c r="BV69" s="91" t="str">
        <f>IF(AD69="-","-",VLOOKUP($E69,CTPit!$E$10:$AW$75,BV$9,FALSE)-AD69)</f>
        <v>-</v>
      </c>
      <c r="BW69" s="91" t="str">
        <f>IF(AE69="-","-",VLOOKUP($E69,CTPit!$E$10:$AW$75,BW$9,FALSE)-AE69)</f>
        <v>-</v>
      </c>
      <c r="BX69" s="91" t="str">
        <f>IF(AF69="-","-",VLOOKUP($E69,CTPit!$E$10:$AW$75,BX$9,FALSE)-AF69)</f>
        <v>-</v>
      </c>
      <c r="BY69" s="91" t="str">
        <f>IF(AG69="-","-",VLOOKUP($E69,CTPit!$E$10:$AW$75,BY$9,FALSE)-AG69)</f>
        <v>-</v>
      </c>
      <c r="BZ69" s="91" t="str">
        <f>IF(AH69="-","-",VLOOKUP($E69,CTPit!$E$10:$AW$75,BZ$9,FALSE)-AH69)</f>
        <v>-</v>
      </c>
      <c r="CA69" s="91" t="str">
        <f>IF(AI69="-","-",VLOOKUP($E69,CTPit!$E$10:$AW$75,CA$9,FALSE)-AI69)</f>
        <v>-</v>
      </c>
      <c r="CB69" s="91" t="str">
        <f>IF(AJ69="-","-",VLOOKUP($E69,CTPit!$E$10:$AW$75,CB$9,FALSE)-AJ69)</f>
        <v>-</v>
      </c>
      <c r="CC69" s="91" t="str">
        <f>IF(AK69="-","-",VLOOKUP($E69,CTPit!$E$10:$AW$75,CC$9,FALSE)-AK69)</f>
        <v>-</v>
      </c>
      <c r="CD69" s="91" t="str">
        <f>IF(AL69="-","-",VLOOKUP($E69,CTPit!$E$10:$AW$75,CD$9,FALSE)-AL69)</f>
        <v>-</v>
      </c>
      <c r="CE69" s="91" t="str">
        <f>IF(AM69="-","-",VLOOKUP($E69,CTPit!$E$10:$AW$75,CE$9,FALSE)-AM69)</f>
        <v>-</v>
      </c>
      <c r="CF69" s="91" t="str">
        <f>IF(AN69="-","-",VLOOKUP($E69,CTPit!$E$10:$AW$75,CF$9,FALSE)-AN69)</f>
        <v>-</v>
      </c>
      <c r="CG69" s="91" t="str">
        <f>IF(AO69="-","-",VLOOKUP($E69,CTPit!$E$10:$AW$75,CG$9,FALSE)-AO69)</f>
        <v>-</v>
      </c>
      <c r="CH69" s="91" t="str">
        <f>IF(AP69="-","-",VLOOKUP($E69,CTPit!$E$10:$AW$75,CH$9,FALSE)-AP69)</f>
        <v>-</v>
      </c>
      <c r="CI69" s="91" t="str">
        <f>IF(AQ69="-","-",VLOOKUP($E69,CTPit!$E$10:$AW$75,CI$9,FALSE)-AQ69)</f>
        <v>-</v>
      </c>
      <c r="CJ69" s="91" t="str">
        <f>IF(AR69="-","-",VLOOKUP($E69,CTPit!$E$10:$AW$75,CJ$9,FALSE)-AR69)</f>
        <v>-</v>
      </c>
      <c r="CK69">
        <f t="shared" si="26"/>
        <v>0</v>
      </c>
    </row>
    <row r="70" spans="3:89">
      <c r="C70" t="str">
        <f t="shared" si="16"/>
        <v>K</v>
      </c>
      <c r="D70" t="s">
        <v>110</v>
      </c>
      <c r="E70" t="s">
        <v>557</v>
      </c>
      <c r="F70" t="s">
        <v>385</v>
      </c>
      <c r="G70" t="s">
        <v>214</v>
      </c>
      <c r="H70">
        <v>23</v>
      </c>
      <c r="I70" t="s">
        <v>107</v>
      </c>
      <c r="J70" s="223" t="s">
        <v>107</v>
      </c>
      <c r="K70" t="s">
        <v>47</v>
      </c>
      <c r="L70" t="s">
        <v>42</v>
      </c>
      <c r="M70" t="s">
        <v>232</v>
      </c>
      <c r="N70" s="223" t="s">
        <v>228</v>
      </c>
      <c r="O70">
        <v>6</v>
      </c>
      <c r="P70">
        <v>3</v>
      </c>
      <c r="Q70" s="223">
        <v>2</v>
      </c>
      <c r="R70">
        <v>7</v>
      </c>
      <c r="S70">
        <v>3</v>
      </c>
      <c r="T70" s="223">
        <v>4</v>
      </c>
      <c r="U70">
        <v>6</v>
      </c>
      <c r="V70">
        <v>7</v>
      </c>
      <c r="W70" t="s">
        <v>41</v>
      </c>
      <c r="X70" t="s">
        <v>41</v>
      </c>
      <c r="Y70" t="s">
        <v>41</v>
      </c>
      <c r="Z70" t="s">
        <v>41</v>
      </c>
      <c r="AA70">
        <v>5</v>
      </c>
      <c r="AB70">
        <v>6</v>
      </c>
      <c r="AC70" t="s">
        <v>41</v>
      </c>
      <c r="AD70" t="s">
        <v>41</v>
      </c>
      <c r="AE70" t="s">
        <v>41</v>
      </c>
      <c r="AF70" t="s">
        <v>41</v>
      </c>
      <c r="AG70" t="s">
        <v>41</v>
      </c>
      <c r="AH70" t="s">
        <v>41</v>
      </c>
      <c r="AI70" t="s">
        <v>41</v>
      </c>
      <c r="AJ70" t="s">
        <v>41</v>
      </c>
      <c r="AK70" t="s">
        <v>41</v>
      </c>
      <c r="AL70" t="s">
        <v>41</v>
      </c>
      <c r="AM70" t="s">
        <v>41</v>
      </c>
      <c r="AN70" t="s">
        <v>41</v>
      </c>
      <c r="AO70" t="s">
        <v>41</v>
      </c>
      <c r="AP70" t="s">
        <v>41</v>
      </c>
      <c r="AQ70" t="s">
        <v>41</v>
      </c>
      <c r="AR70" s="223" t="s">
        <v>41</v>
      </c>
      <c r="AS70" t="s">
        <v>252</v>
      </c>
      <c r="AT70">
        <v>2</v>
      </c>
      <c r="AU70" s="11">
        <v>0.44</v>
      </c>
      <c r="AV70" s="85" t="s">
        <v>41</v>
      </c>
      <c r="AW70" s="223" t="s">
        <v>45</v>
      </c>
      <c r="AX70" s="6">
        <f t="shared" si="17"/>
        <v>3.9166666666666665</v>
      </c>
      <c r="AY70" s="9" t="str">
        <f t="shared" si="18"/>
        <v>Minors</v>
      </c>
      <c r="AZ70" s="9">
        <f t="shared" si="19"/>
        <v>4.916666666666667</v>
      </c>
      <c r="BA70" s="9" t="str">
        <f t="shared" si="20"/>
        <v>Bench</v>
      </c>
      <c r="BB70" s="9">
        <f t="shared" si="21"/>
        <v>4.916666666666667</v>
      </c>
      <c r="BC70" s="9" t="str">
        <f t="shared" si="22"/>
        <v>Bench</v>
      </c>
      <c r="BD70" s="84">
        <f t="shared" si="23"/>
        <v>2</v>
      </c>
      <c r="BE70" s="83">
        <f t="shared" si="24"/>
        <v>1.5</v>
      </c>
      <c r="BF70" t="str">
        <f t="shared" si="25"/>
        <v/>
      </c>
      <c r="BG70" s="91">
        <f>IF(O70="-","-",VLOOKUP($E70,CTPit!$E$10:$AW$75,BG$9,FALSE)-O70)</f>
        <v>0</v>
      </c>
      <c r="BH70" s="91">
        <f>IF(P70="-","-",VLOOKUP($E70,CTPit!$E$10:$AW$75,BH$9,FALSE)-P70)</f>
        <v>0</v>
      </c>
      <c r="BI70" s="91">
        <f>IF(Q70="-","-",VLOOKUP($E70,CTPit!$E$10:$AW$75,BI$9,FALSE)-Q70)</f>
        <v>0</v>
      </c>
      <c r="BJ70" s="91">
        <f>IF(R70="-","-",VLOOKUP($E70,CTPit!$E$10:$AW$75,BJ$9,FALSE)-R70)</f>
        <v>0</v>
      </c>
      <c r="BK70" s="91">
        <f>IF(S70="-","-",VLOOKUP($E70,CTPit!$E$10:$AW$75,BK$9,FALSE)-S70)</f>
        <v>0</v>
      </c>
      <c r="BL70" s="91">
        <f>IF(T70="-","-",VLOOKUP($E70,CTPit!$E$10:$AW$75,BL$9,FALSE)-T70)</f>
        <v>0</v>
      </c>
      <c r="BM70" s="91">
        <f>IF(U70="-","-",VLOOKUP($E70,CTPit!$E$10:$AW$75,BM$9,FALSE)-U70)</f>
        <v>0</v>
      </c>
      <c r="BN70" s="91">
        <f>IF(V70="-","-",VLOOKUP($E70,CTPit!$E$10:$AW$75,BN$9,FALSE)-V70)</f>
        <v>0</v>
      </c>
      <c r="BO70" s="91" t="str">
        <f>IF(W70="-","-",VLOOKUP($E70,CTPit!$E$10:$AW$75,BO$9,FALSE)-W70)</f>
        <v>-</v>
      </c>
      <c r="BP70" s="91" t="str">
        <f>IF(X70="-","-",VLOOKUP($E70,CTPit!$E$10:$AW$75,BP$9,FALSE)-X70)</f>
        <v>-</v>
      </c>
      <c r="BQ70" s="91" t="str">
        <f>IF(Y70="-","-",VLOOKUP($E70,CTPit!$E$10:$AW$75,BQ$9,FALSE)-Y70)</f>
        <v>-</v>
      </c>
      <c r="BR70" s="91" t="str">
        <f>IF(Z70="-","-",VLOOKUP($E70,CTPit!$E$10:$AW$75,BR$9,FALSE)-Z70)</f>
        <v>-</v>
      </c>
      <c r="BS70" s="91">
        <f>IF(AA70="-","-",VLOOKUP($E70,CTPit!$E$10:$AW$75,BS$9,FALSE)-AA70)</f>
        <v>0</v>
      </c>
      <c r="BT70" s="91">
        <f>IF(AB70="-","-",VLOOKUP($E70,CTPit!$E$10:$AW$75,BT$9,FALSE)-AB70)</f>
        <v>0</v>
      </c>
      <c r="BU70" s="91" t="str">
        <f>IF(AC70="-","-",VLOOKUP($E70,CTPit!$E$10:$AW$75,BU$9,FALSE)-AC70)</f>
        <v>-</v>
      </c>
      <c r="BV70" s="91" t="str">
        <f>IF(AD70="-","-",VLOOKUP($E70,CTPit!$E$10:$AW$75,BV$9,FALSE)-AD70)</f>
        <v>-</v>
      </c>
      <c r="BW70" s="91" t="str">
        <f>IF(AE70="-","-",VLOOKUP($E70,CTPit!$E$10:$AW$75,BW$9,FALSE)-AE70)</f>
        <v>-</v>
      </c>
      <c r="BX70" s="91" t="str">
        <f>IF(AF70="-","-",VLOOKUP($E70,CTPit!$E$10:$AW$75,BX$9,FALSE)-AF70)</f>
        <v>-</v>
      </c>
      <c r="BY70" s="91" t="str">
        <f>IF(AG70="-","-",VLOOKUP($E70,CTPit!$E$10:$AW$75,BY$9,FALSE)-AG70)</f>
        <v>-</v>
      </c>
      <c r="BZ70" s="91" t="str">
        <f>IF(AH70="-","-",VLOOKUP($E70,CTPit!$E$10:$AW$75,BZ$9,FALSE)-AH70)</f>
        <v>-</v>
      </c>
      <c r="CA70" s="91" t="str">
        <f>IF(AI70="-","-",VLOOKUP($E70,CTPit!$E$10:$AW$75,CA$9,FALSE)-AI70)</f>
        <v>-</v>
      </c>
      <c r="CB70" s="91" t="str">
        <f>IF(AJ70="-","-",VLOOKUP($E70,CTPit!$E$10:$AW$75,CB$9,FALSE)-AJ70)</f>
        <v>-</v>
      </c>
      <c r="CC70" s="91" t="str">
        <f>IF(AK70="-","-",VLOOKUP($E70,CTPit!$E$10:$AW$75,CC$9,FALSE)-AK70)</f>
        <v>-</v>
      </c>
      <c r="CD70" s="91" t="str">
        <f>IF(AL70="-","-",VLOOKUP($E70,CTPit!$E$10:$AW$75,CD$9,FALSE)-AL70)</f>
        <v>-</v>
      </c>
      <c r="CE70" s="91" t="str">
        <f>IF(AM70="-","-",VLOOKUP($E70,CTPit!$E$10:$AW$75,CE$9,FALSE)-AM70)</f>
        <v>-</v>
      </c>
      <c r="CF70" s="91" t="str">
        <f>IF(AN70="-","-",VLOOKUP($E70,CTPit!$E$10:$AW$75,CF$9,FALSE)-AN70)</f>
        <v>-</v>
      </c>
      <c r="CG70" s="91" t="str">
        <f>IF(AO70="-","-",VLOOKUP($E70,CTPit!$E$10:$AW$75,CG$9,FALSE)-AO70)</f>
        <v>-</v>
      </c>
      <c r="CH70" s="91" t="str">
        <f>IF(AP70="-","-",VLOOKUP($E70,CTPit!$E$10:$AW$75,CH$9,FALSE)-AP70)</f>
        <v>-</v>
      </c>
      <c r="CI70" s="91" t="str">
        <f>IF(AQ70="-","-",VLOOKUP($E70,CTPit!$E$10:$AW$75,CI$9,FALSE)-AQ70)</f>
        <v>-</v>
      </c>
      <c r="CJ70" s="91" t="str">
        <f>IF(AR70="-","-",VLOOKUP($E70,CTPit!$E$10:$AW$75,CJ$9,FALSE)-AR70)</f>
        <v>-</v>
      </c>
      <c r="CK70">
        <f t="shared" si="26"/>
        <v>0</v>
      </c>
    </row>
    <row r="71" spans="3:89">
      <c r="C71" t="str">
        <f t="shared" si="16"/>
        <v>K</v>
      </c>
      <c r="D71" t="s">
        <v>110</v>
      </c>
      <c r="E71" t="s">
        <v>434</v>
      </c>
      <c r="F71" t="s">
        <v>383</v>
      </c>
      <c r="G71" t="s">
        <v>327</v>
      </c>
      <c r="H71">
        <v>19</v>
      </c>
      <c r="I71" t="s">
        <v>107</v>
      </c>
      <c r="J71" s="223" t="s">
        <v>107</v>
      </c>
      <c r="K71" t="s">
        <v>47</v>
      </c>
      <c r="L71" t="s">
        <v>42</v>
      </c>
      <c r="M71" t="s">
        <v>231</v>
      </c>
      <c r="N71" s="223" t="s">
        <v>228</v>
      </c>
      <c r="O71">
        <v>5</v>
      </c>
      <c r="P71">
        <v>4</v>
      </c>
      <c r="Q71" s="223">
        <v>2</v>
      </c>
      <c r="R71">
        <v>7</v>
      </c>
      <c r="S71">
        <v>4</v>
      </c>
      <c r="T71" s="223">
        <v>4</v>
      </c>
      <c r="U71">
        <v>6</v>
      </c>
      <c r="V71">
        <v>8</v>
      </c>
      <c r="W71" t="s">
        <v>41</v>
      </c>
      <c r="X71" t="s">
        <v>41</v>
      </c>
      <c r="Y71">
        <v>4</v>
      </c>
      <c r="Z71">
        <v>7</v>
      </c>
      <c r="AA71" t="s">
        <v>41</v>
      </c>
      <c r="AB71" t="s">
        <v>41</v>
      </c>
      <c r="AC71" t="s">
        <v>41</v>
      </c>
      <c r="AD71" t="s">
        <v>41</v>
      </c>
      <c r="AE71" t="s">
        <v>41</v>
      </c>
      <c r="AF71" t="s">
        <v>41</v>
      </c>
      <c r="AG71" t="s">
        <v>41</v>
      </c>
      <c r="AH71" t="s">
        <v>41</v>
      </c>
      <c r="AI71" t="s">
        <v>41</v>
      </c>
      <c r="AJ71" t="s">
        <v>41</v>
      </c>
      <c r="AK71" t="s">
        <v>41</v>
      </c>
      <c r="AL71" t="s">
        <v>41</v>
      </c>
      <c r="AM71" t="s">
        <v>41</v>
      </c>
      <c r="AN71" t="s">
        <v>41</v>
      </c>
      <c r="AO71" t="s">
        <v>41</v>
      </c>
      <c r="AP71" t="s">
        <v>41</v>
      </c>
      <c r="AQ71" t="s">
        <v>41</v>
      </c>
      <c r="AR71" s="223" t="s">
        <v>41</v>
      </c>
      <c r="AS71" t="s">
        <v>11</v>
      </c>
      <c r="AT71">
        <v>10</v>
      </c>
      <c r="AU71" s="11">
        <v>0.44</v>
      </c>
      <c r="AV71" s="85" t="s">
        <v>41</v>
      </c>
      <c r="AW71" s="223">
        <v>0</v>
      </c>
      <c r="AX71" s="6">
        <f t="shared" si="17"/>
        <v>3.9166666666666665</v>
      </c>
      <c r="AY71" s="9" t="str">
        <f t="shared" si="18"/>
        <v>Minors</v>
      </c>
      <c r="AZ71" s="9">
        <f t="shared" si="19"/>
        <v>5.25</v>
      </c>
      <c r="BA71" s="9" t="str">
        <f t="shared" si="20"/>
        <v>Reg</v>
      </c>
      <c r="BB71" s="9">
        <f t="shared" si="21"/>
        <v>5.25</v>
      </c>
      <c r="BC71" s="9" t="str">
        <f t="shared" si="22"/>
        <v>Reg</v>
      </c>
      <c r="BD71" s="84">
        <f t="shared" si="23"/>
        <v>2</v>
      </c>
      <c r="BE71" s="83">
        <f t="shared" si="24"/>
        <v>1.5</v>
      </c>
      <c r="BF71" t="str">
        <f t="shared" si="25"/>
        <v/>
      </c>
      <c r="BG71" s="91">
        <f>IF(O71="-","-",VLOOKUP($E71,CTPit!$E$10:$AW$75,BG$9,FALSE)-O71)</f>
        <v>0</v>
      </c>
      <c r="BH71" s="91">
        <f>IF(P71="-","-",VLOOKUP($E71,CTPit!$E$10:$AW$75,BH$9,FALSE)-P71)</f>
        <v>0</v>
      </c>
      <c r="BI71" s="91">
        <f>IF(Q71="-","-",VLOOKUP($E71,CTPit!$E$10:$AW$75,BI$9,FALSE)-Q71)</f>
        <v>0</v>
      </c>
      <c r="BJ71" s="91">
        <f>IF(R71="-","-",VLOOKUP($E71,CTPit!$E$10:$AW$75,BJ$9,FALSE)-R71)</f>
        <v>0</v>
      </c>
      <c r="BK71" s="91">
        <f>IF(S71="-","-",VLOOKUP($E71,CTPit!$E$10:$AW$75,BK$9,FALSE)-S71)</f>
        <v>0</v>
      </c>
      <c r="BL71" s="91">
        <f>IF(T71="-","-",VLOOKUP($E71,CTPit!$E$10:$AW$75,BL$9,FALSE)-T71)</f>
        <v>0</v>
      </c>
      <c r="BM71" s="91">
        <f>IF(U71="-","-",VLOOKUP($E71,CTPit!$E$10:$AW$75,BM$9,FALSE)-U71)</f>
        <v>0</v>
      </c>
      <c r="BN71" s="91">
        <f>IF(V71="-","-",VLOOKUP($E71,CTPit!$E$10:$AW$75,BN$9,FALSE)-V71)</f>
        <v>0</v>
      </c>
      <c r="BO71" s="91" t="str">
        <f>IF(W71="-","-",VLOOKUP($E71,CTPit!$E$10:$AW$75,BO$9,FALSE)-W71)</f>
        <v>-</v>
      </c>
      <c r="BP71" s="91" t="str">
        <f>IF(X71="-","-",VLOOKUP($E71,CTPit!$E$10:$AW$75,BP$9,FALSE)-X71)</f>
        <v>-</v>
      </c>
      <c r="BQ71" s="91">
        <f>IF(Y71="-","-",VLOOKUP($E71,CTPit!$E$10:$AW$75,BQ$9,FALSE)-Y71)</f>
        <v>0</v>
      </c>
      <c r="BR71" s="91">
        <f>IF(Z71="-","-",VLOOKUP($E71,CTPit!$E$10:$AW$75,BR$9,FALSE)-Z71)</f>
        <v>0</v>
      </c>
      <c r="BS71" s="91" t="str">
        <f>IF(AA71="-","-",VLOOKUP($E71,CTPit!$E$10:$AW$75,BS$9,FALSE)-AA71)</f>
        <v>-</v>
      </c>
      <c r="BT71" s="91" t="str">
        <f>IF(AB71="-","-",VLOOKUP($E71,CTPit!$E$10:$AW$75,BT$9,FALSE)-AB71)</f>
        <v>-</v>
      </c>
      <c r="BU71" s="91" t="str">
        <f>IF(AC71="-","-",VLOOKUP($E71,CTPit!$E$10:$AW$75,BU$9,FALSE)-AC71)</f>
        <v>-</v>
      </c>
      <c r="BV71" s="91" t="str">
        <f>IF(AD71="-","-",VLOOKUP($E71,CTPit!$E$10:$AW$75,BV$9,FALSE)-AD71)</f>
        <v>-</v>
      </c>
      <c r="BW71" s="91" t="str">
        <f>IF(AE71="-","-",VLOOKUP($E71,CTPit!$E$10:$AW$75,BW$9,FALSE)-AE71)</f>
        <v>-</v>
      </c>
      <c r="BX71" s="91" t="str">
        <f>IF(AF71="-","-",VLOOKUP($E71,CTPit!$E$10:$AW$75,BX$9,FALSE)-AF71)</f>
        <v>-</v>
      </c>
      <c r="BY71" s="91" t="str">
        <f>IF(AG71="-","-",VLOOKUP($E71,CTPit!$E$10:$AW$75,BY$9,FALSE)-AG71)</f>
        <v>-</v>
      </c>
      <c r="BZ71" s="91" t="str">
        <f>IF(AH71="-","-",VLOOKUP($E71,CTPit!$E$10:$AW$75,BZ$9,FALSE)-AH71)</f>
        <v>-</v>
      </c>
      <c r="CA71" s="91" t="str">
        <f>IF(AI71="-","-",VLOOKUP($E71,CTPit!$E$10:$AW$75,CA$9,FALSE)-AI71)</f>
        <v>-</v>
      </c>
      <c r="CB71" s="91" t="str">
        <f>IF(AJ71="-","-",VLOOKUP($E71,CTPit!$E$10:$AW$75,CB$9,FALSE)-AJ71)</f>
        <v>-</v>
      </c>
      <c r="CC71" s="91" t="str">
        <f>IF(AK71="-","-",VLOOKUP($E71,CTPit!$E$10:$AW$75,CC$9,FALSE)-AK71)</f>
        <v>-</v>
      </c>
      <c r="CD71" s="91" t="str">
        <f>IF(AL71="-","-",VLOOKUP($E71,CTPit!$E$10:$AW$75,CD$9,FALSE)-AL71)</f>
        <v>-</v>
      </c>
      <c r="CE71" s="91" t="str">
        <f>IF(AM71="-","-",VLOOKUP($E71,CTPit!$E$10:$AW$75,CE$9,FALSE)-AM71)</f>
        <v>-</v>
      </c>
      <c r="CF71" s="91" t="str">
        <f>IF(AN71="-","-",VLOOKUP($E71,CTPit!$E$10:$AW$75,CF$9,FALSE)-AN71)</f>
        <v>-</v>
      </c>
      <c r="CG71" s="91" t="str">
        <f>IF(AO71="-","-",VLOOKUP($E71,CTPit!$E$10:$AW$75,CG$9,FALSE)-AO71)</f>
        <v>-</v>
      </c>
      <c r="CH71" s="91" t="str">
        <f>IF(AP71="-","-",VLOOKUP($E71,CTPit!$E$10:$AW$75,CH$9,FALSE)-AP71)</f>
        <v>-</v>
      </c>
      <c r="CI71" s="91" t="str">
        <f>IF(AQ71="-","-",VLOOKUP($E71,CTPit!$E$10:$AW$75,CI$9,FALSE)-AQ71)</f>
        <v>-</v>
      </c>
      <c r="CJ71" s="91" t="str">
        <f>IF(AR71="-","-",VLOOKUP($E71,CTPit!$E$10:$AW$75,CJ$9,FALSE)-AR71)</f>
        <v>-</v>
      </c>
      <c r="CK71">
        <f t="shared" si="26"/>
        <v>0</v>
      </c>
    </row>
    <row r="72" spans="3:89">
      <c r="C72" t="str">
        <f t="shared" si="16"/>
        <v>K</v>
      </c>
      <c r="D72" t="s">
        <v>111</v>
      </c>
      <c r="E72" t="s">
        <v>328</v>
      </c>
      <c r="F72" t="s">
        <v>386</v>
      </c>
      <c r="G72" t="s">
        <v>215</v>
      </c>
      <c r="H72">
        <v>21</v>
      </c>
      <c r="I72" t="s">
        <v>107</v>
      </c>
      <c r="J72" s="223" t="s">
        <v>107</v>
      </c>
      <c r="K72" t="s">
        <v>47</v>
      </c>
      <c r="L72" t="s">
        <v>47</v>
      </c>
      <c r="M72" t="s">
        <v>231</v>
      </c>
      <c r="N72" s="223" t="s">
        <v>229</v>
      </c>
      <c r="O72">
        <v>5</v>
      </c>
      <c r="P72">
        <v>5</v>
      </c>
      <c r="Q72" s="223">
        <v>1</v>
      </c>
      <c r="R72">
        <v>6</v>
      </c>
      <c r="S72">
        <v>5</v>
      </c>
      <c r="T72" s="223">
        <v>2</v>
      </c>
      <c r="U72">
        <v>7</v>
      </c>
      <c r="V72">
        <v>7</v>
      </c>
      <c r="W72">
        <v>5</v>
      </c>
      <c r="X72">
        <v>7</v>
      </c>
      <c r="Y72">
        <v>6</v>
      </c>
      <c r="Z72">
        <v>6</v>
      </c>
      <c r="AA72" t="s">
        <v>41</v>
      </c>
      <c r="AB72" t="s">
        <v>41</v>
      </c>
      <c r="AC72" t="s">
        <v>41</v>
      </c>
      <c r="AD72" t="s">
        <v>41</v>
      </c>
      <c r="AE72" t="s">
        <v>41</v>
      </c>
      <c r="AF72" t="s">
        <v>41</v>
      </c>
      <c r="AG72" t="s">
        <v>41</v>
      </c>
      <c r="AH72" t="s">
        <v>41</v>
      </c>
      <c r="AI72" t="s">
        <v>41</v>
      </c>
      <c r="AJ72" t="s">
        <v>41</v>
      </c>
      <c r="AK72" t="s">
        <v>41</v>
      </c>
      <c r="AL72" t="s">
        <v>41</v>
      </c>
      <c r="AM72" t="s">
        <v>41</v>
      </c>
      <c r="AN72" t="s">
        <v>41</v>
      </c>
      <c r="AO72" t="s">
        <v>41</v>
      </c>
      <c r="AP72" t="s">
        <v>41</v>
      </c>
      <c r="AQ72" t="s">
        <v>41</v>
      </c>
      <c r="AR72" s="223" t="s">
        <v>41</v>
      </c>
      <c r="AS72" t="s">
        <v>252</v>
      </c>
      <c r="AT72">
        <v>8</v>
      </c>
      <c r="AU72" s="11">
        <v>0.53</v>
      </c>
      <c r="AV72" s="85" t="s">
        <v>41</v>
      </c>
      <c r="AW72" s="223">
        <v>0</v>
      </c>
      <c r="AX72" s="6">
        <f t="shared" si="17"/>
        <v>3.9166666666666665</v>
      </c>
      <c r="AY72" s="9" t="str">
        <f t="shared" si="18"/>
        <v>Minors</v>
      </c>
      <c r="AZ72" s="9">
        <f t="shared" si="19"/>
        <v>4.583333333333333</v>
      </c>
      <c r="BA72" s="9" t="str">
        <f t="shared" si="20"/>
        <v>Bench</v>
      </c>
      <c r="BB72" s="9">
        <f t="shared" si="21"/>
        <v>4.583333333333333</v>
      </c>
      <c r="BC72" s="9" t="str">
        <f t="shared" si="22"/>
        <v>Bench</v>
      </c>
      <c r="BD72" s="84">
        <f t="shared" si="23"/>
        <v>3</v>
      </c>
      <c r="BE72" s="83">
        <f t="shared" si="24"/>
        <v>2.5</v>
      </c>
      <c r="BF72" t="str">
        <f t="shared" si="25"/>
        <v/>
      </c>
      <c r="BG72" s="91" t="e">
        <f>IF(O72="-","-",VLOOKUP($E72,CTPit!$E$10:$AW$75,BG$9,FALSE)-O72)</f>
        <v>#N/A</v>
      </c>
      <c r="BH72" s="91" t="e">
        <f>IF(P72="-","-",VLOOKUP($E72,CTPit!$E$10:$AW$75,BH$9,FALSE)-P72)</f>
        <v>#N/A</v>
      </c>
      <c r="BI72" s="91" t="e">
        <f>IF(Q72="-","-",VLOOKUP($E72,CTPit!$E$10:$AW$75,BI$9,FALSE)-Q72)</f>
        <v>#N/A</v>
      </c>
      <c r="BJ72" s="91" t="e">
        <f>IF(R72="-","-",VLOOKUP($E72,CTPit!$E$10:$AW$75,BJ$9,FALSE)-R72)</f>
        <v>#N/A</v>
      </c>
      <c r="BK72" s="91" t="e">
        <f>IF(S72="-","-",VLOOKUP($E72,CTPit!$E$10:$AW$75,BK$9,FALSE)-S72)</f>
        <v>#N/A</v>
      </c>
      <c r="BL72" s="91" t="e">
        <f>IF(T72="-","-",VLOOKUP($E72,CTPit!$E$10:$AW$75,BL$9,FALSE)-T72)</f>
        <v>#N/A</v>
      </c>
      <c r="BM72" s="91" t="e">
        <f>IF(U72="-","-",VLOOKUP($E72,CTPit!$E$10:$AW$75,BM$9,FALSE)-U72)</f>
        <v>#N/A</v>
      </c>
      <c r="BN72" s="91" t="e">
        <f>IF(V72="-","-",VLOOKUP($E72,CTPit!$E$10:$AW$75,BN$9,FALSE)-V72)</f>
        <v>#N/A</v>
      </c>
      <c r="BO72" s="91" t="e">
        <f>IF(W72="-","-",VLOOKUP($E72,CTPit!$E$10:$AW$75,BO$9,FALSE)-W72)</f>
        <v>#N/A</v>
      </c>
      <c r="BP72" s="91" t="e">
        <f>IF(X72="-","-",VLOOKUP($E72,CTPit!$E$10:$AW$75,BP$9,FALSE)-X72)</f>
        <v>#N/A</v>
      </c>
      <c r="BQ72" s="91" t="e">
        <f>IF(Y72="-","-",VLOOKUP($E72,CTPit!$E$10:$AW$75,BQ$9,FALSE)-Y72)</f>
        <v>#N/A</v>
      </c>
      <c r="BR72" s="91" t="e">
        <f>IF(Z72="-","-",VLOOKUP($E72,CTPit!$E$10:$AW$75,BR$9,FALSE)-Z72)</f>
        <v>#N/A</v>
      </c>
      <c r="BS72" s="91" t="str">
        <f>IF(AA72="-","-",VLOOKUP($E72,CTPit!$E$10:$AW$75,BS$9,FALSE)-AA72)</f>
        <v>-</v>
      </c>
      <c r="BT72" s="91" t="str">
        <f>IF(AB72="-","-",VLOOKUP($E72,CTPit!$E$10:$AW$75,BT$9,FALSE)-AB72)</f>
        <v>-</v>
      </c>
      <c r="BU72" s="91" t="str">
        <f>IF(AC72="-","-",VLOOKUP($E72,CTPit!$E$10:$AW$75,BU$9,FALSE)-AC72)</f>
        <v>-</v>
      </c>
      <c r="BV72" s="91" t="str">
        <f>IF(AD72="-","-",VLOOKUP($E72,CTPit!$E$10:$AW$75,BV$9,FALSE)-AD72)</f>
        <v>-</v>
      </c>
      <c r="BW72" s="91" t="str">
        <f>IF(AE72="-","-",VLOOKUP($E72,CTPit!$E$10:$AW$75,BW$9,FALSE)-AE72)</f>
        <v>-</v>
      </c>
      <c r="BX72" s="91" t="str">
        <f>IF(AF72="-","-",VLOOKUP($E72,CTPit!$E$10:$AW$75,BX$9,FALSE)-AF72)</f>
        <v>-</v>
      </c>
      <c r="BY72" s="91" t="str">
        <f>IF(AG72="-","-",VLOOKUP($E72,CTPit!$E$10:$AW$75,BY$9,FALSE)-AG72)</f>
        <v>-</v>
      </c>
      <c r="BZ72" s="91" t="str">
        <f>IF(AH72="-","-",VLOOKUP($E72,CTPit!$E$10:$AW$75,BZ$9,FALSE)-AH72)</f>
        <v>-</v>
      </c>
      <c r="CA72" s="91" t="str">
        <f>IF(AI72="-","-",VLOOKUP($E72,CTPit!$E$10:$AW$75,CA$9,FALSE)-AI72)</f>
        <v>-</v>
      </c>
      <c r="CB72" s="91" t="str">
        <f>IF(AJ72="-","-",VLOOKUP($E72,CTPit!$E$10:$AW$75,CB$9,FALSE)-AJ72)</f>
        <v>-</v>
      </c>
      <c r="CC72" s="91" t="str">
        <f>IF(AK72="-","-",VLOOKUP($E72,CTPit!$E$10:$AW$75,CC$9,FALSE)-AK72)</f>
        <v>-</v>
      </c>
      <c r="CD72" s="91" t="str">
        <f>IF(AL72="-","-",VLOOKUP($E72,CTPit!$E$10:$AW$75,CD$9,FALSE)-AL72)</f>
        <v>-</v>
      </c>
      <c r="CE72" s="91" t="str">
        <f>IF(AM72="-","-",VLOOKUP($E72,CTPit!$E$10:$AW$75,CE$9,FALSE)-AM72)</f>
        <v>-</v>
      </c>
      <c r="CF72" s="91" t="str">
        <f>IF(AN72="-","-",VLOOKUP($E72,CTPit!$E$10:$AW$75,CF$9,FALSE)-AN72)</f>
        <v>-</v>
      </c>
      <c r="CG72" s="91" t="str">
        <f>IF(AO72="-","-",VLOOKUP($E72,CTPit!$E$10:$AW$75,CG$9,FALSE)-AO72)</f>
        <v>-</v>
      </c>
      <c r="CH72" s="91" t="str">
        <f>IF(AP72="-","-",VLOOKUP($E72,CTPit!$E$10:$AW$75,CH$9,FALSE)-AP72)</f>
        <v>-</v>
      </c>
      <c r="CI72" s="91" t="str">
        <f>IF(AQ72="-","-",VLOOKUP($E72,CTPit!$E$10:$AW$75,CI$9,FALSE)-AQ72)</f>
        <v>-</v>
      </c>
      <c r="CJ72" s="91" t="str">
        <f>IF(AR72="-","-",VLOOKUP($E72,CTPit!$E$10:$AW$75,CJ$9,FALSE)-AR72)</f>
        <v>-</v>
      </c>
      <c r="CK72" t="e">
        <f t="shared" si="26"/>
        <v>#N/A</v>
      </c>
    </row>
    <row r="73" spans="3:89">
      <c r="C73" t="str">
        <f t="shared" si="16"/>
        <v>K</v>
      </c>
      <c r="D73" t="s">
        <v>111</v>
      </c>
      <c r="E73" t="s">
        <v>406</v>
      </c>
      <c r="F73" t="s">
        <v>386</v>
      </c>
      <c r="G73" t="s">
        <v>215</v>
      </c>
      <c r="H73">
        <v>24</v>
      </c>
      <c r="I73" t="s">
        <v>109</v>
      </c>
      <c r="J73" s="223" t="s">
        <v>107</v>
      </c>
      <c r="K73" t="s">
        <v>47</v>
      </c>
      <c r="L73" t="s">
        <v>47</v>
      </c>
      <c r="M73" t="s">
        <v>229</v>
      </c>
      <c r="N73" s="223" t="s">
        <v>229</v>
      </c>
      <c r="O73">
        <v>4</v>
      </c>
      <c r="P73">
        <v>5</v>
      </c>
      <c r="Q73" s="223">
        <v>2</v>
      </c>
      <c r="R73">
        <v>4</v>
      </c>
      <c r="S73">
        <v>5</v>
      </c>
      <c r="T73" s="223">
        <v>4</v>
      </c>
      <c r="U73">
        <v>4</v>
      </c>
      <c r="V73">
        <v>5</v>
      </c>
      <c r="W73">
        <v>5</v>
      </c>
      <c r="X73">
        <v>5</v>
      </c>
      <c r="Y73">
        <v>2</v>
      </c>
      <c r="Z73">
        <v>2</v>
      </c>
      <c r="AA73" t="s">
        <v>41</v>
      </c>
      <c r="AB73" t="s">
        <v>41</v>
      </c>
      <c r="AC73" t="s">
        <v>41</v>
      </c>
      <c r="AD73" t="s">
        <v>41</v>
      </c>
      <c r="AE73" t="s">
        <v>41</v>
      </c>
      <c r="AF73" t="s">
        <v>41</v>
      </c>
      <c r="AG73" t="s">
        <v>41</v>
      </c>
      <c r="AH73" t="s">
        <v>41</v>
      </c>
      <c r="AI73">
        <v>5</v>
      </c>
      <c r="AJ73">
        <v>5</v>
      </c>
      <c r="AK73" t="s">
        <v>41</v>
      </c>
      <c r="AL73" t="s">
        <v>41</v>
      </c>
      <c r="AM73" t="s">
        <v>41</v>
      </c>
      <c r="AN73" t="s">
        <v>41</v>
      </c>
      <c r="AO73" t="s">
        <v>41</v>
      </c>
      <c r="AP73" t="s">
        <v>41</v>
      </c>
      <c r="AQ73" t="s">
        <v>41</v>
      </c>
      <c r="AR73" s="223" t="s">
        <v>41</v>
      </c>
      <c r="AS73" t="s">
        <v>2</v>
      </c>
      <c r="AT73">
        <v>10</v>
      </c>
      <c r="AU73" s="11">
        <v>0.53</v>
      </c>
      <c r="AV73" s="85" t="s">
        <v>41</v>
      </c>
      <c r="AW73" s="223">
        <v>0</v>
      </c>
      <c r="AX73" s="6">
        <f t="shared" si="17"/>
        <v>3.9166666666666665</v>
      </c>
      <c r="AY73" s="9" t="str">
        <f t="shared" si="18"/>
        <v>Minors</v>
      </c>
      <c r="AZ73" s="9">
        <f t="shared" si="19"/>
        <v>4.583333333333333</v>
      </c>
      <c r="BA73" s="9" t="str">
        <f t="shared" si="20"/>
        <v>Bench</v>
      </c>
      <c r="BB73" s="9">
        <f t="shared" si="21"/>
        <v>4.583333333333333</v>
      </c>
      <c r="BC73" s="9" t="str">
        <f t="shared" si="22"/>
        <v>Bench</v>
      </c>
      <c r="BD73" s="84">
        <f t="shared" si="23"/>
        <v>4</v>
      </c>
      <c r="BE73" s="83">
        <f t="shared" si="24"/>
        <v>0</v>
      </c>
      <c r="BF73" t="str">
        <f t="shared" si="25"/>
        <v/>
      </c>
      <c r="BG73" s="91" t="e">
        <f>IF(O73="-","-",VLOOKUP($E73,CTPit!$E$10:$AW$75,BG$9,FALSE)-O73)</f>
        <v>#N/A</v>
      </c>
      <c r="BH73" s="91" t="e">
        <f>IF(P73="-","-",VLOOKUP($E73,CTPit!$E$10:$AW$75,BH$9,FALSE)-P73)</f>
        <v>#N/A</v>
      </c>
      <c r="BI73" s="91" t="e">
        <f>IF(Q73="-","-",VLOOKUP($E73,CTPit!$E$10:$AW$75,BI$9,FALSE)-Q73)</f>
        <v>#N/A</v>
      </c>
      <c r="BJ73" s="91" t="e">
        <f>IF(R73="-","-",VLOOKUP($E73,CTPit!$E$10:$AW$75,BJ$9,FALSE)-R73)</f>
        <v>#N/A</v>
      </c>
      <c r="BK73" s="91" t="e">
        <f>IF(S73="-","-",VLOOKUP($E73,CTPit!$E$10:$AW$75,BK$9,FALSE)-S73)</f>
        <v>#N/A</v>
      </c>
      <c r="BL73" s="91" t="e">
        <f>IF(T73="-","-",VLOOKUP($E73,CTPit!$E$10:$AW$75,BL$9,FALSE)-T73)</f>
        <v>#N/A</v>
      </c>
      <c r="BM73" s="91" t="e">
        <f>IF(U73="-","-",VLOOKUP($E73,CTPit!$E$10:$AW$75,BM$9,FALSE)-U73)</f>
        <v>#N/A</v>
      </c>
      <c r="BN73" s="91" t="e">
        <f>IF(V73="-","-",VLOOKUP($E73,CTPit!$E$10:$AW$75,BN$9,FALSE)-V73)</f>
        <v>#N/A</v>
      </c>
      <c r="BO73" s="91" t="e">
        <f>IF(W73="-","-",VLOOKUP($E73,CTPit!$E$10:$AW$75,BO$9,FALSE)-W73)</f>
        <v>#N/A</v>
      </c>
      <c r="BP73" s="91" t="e">
        <f>IF(X73="-","-",VLOOKUP($E73,CTPit!$E$10:$AW$75,BP$9,FALSE)-X73)</f>
        <v>#N/A</v>
      </c>
      <c r="BQ73" s="91" t="e">
        <f>IF(Y73="-","-",VLOOKUP($E73,CTPit!$E$10:$AW$75,BQ$9,FALSE)-Y73)</f>
        <v>#N/A</v>
      </c>
      <c r="BR73" s="91" t="e">
        <f>IF(Z73="-","-",VLOOKUP($E73,CTPit!$E$10:$AW$75,BR$9,FALSE)-Z73)</f>
        <v>#N/A</v>
      </c>
      <c r="BS73" s="91" t="str">
        <f>IF(AA73="-","-",VLOOKUP($E73,CTPit!$E$10:$AW$75,BS$9,FALSE)-AA73)</f>
        <v>-</v>
      </c>
      <c r="BT73" s="91" t="str">
        <f>IF(AB73="-","-",VLOOKUP($E73,CTPit!$E$10:$AW$75,BT$9,FALSE)-AB73)</f>
        <v>-</v>
      </c>
      <c r="BU73" s="91" t="str">
        <f>IF(AC73="-","-",VLOOKUP($E73,CTPit!$E$10:$AW$75,BU$9,FALSE)-AC73)</f>
        <v>-</v>
      </c>
      <c r="BV73" s="91" t="str">
        <f>IF(AD73="-","-",VLOOKUP($E73,CTPit!$E$10:$AW$75,BV$9,FALSE)-AD73)</f>
        <v>-</v>
      </c>
      <c r="BW73" s="91" t="str">
        <f>IF(AE73="-","-",VLOOKUP($E73,CTPit!$E$10:$AW$75,BW$9,FALSE)-AE73)</f>
        <v>-</v>
      </c>
      <c r="BX73" s="91" t="str">
        <f>IF(AF73="-","-",VLOOKUP($E73,CTPit!$E$10:$AW$75,BX$9,FALSE)-AF73)</f>
        <v>-</v>
      </c>
      <c r="BY73" s="91" t="str">
        <f>IF(AG73="-","-",VLOOKUP($E73,CTPit!$E$10:$AW$75,BY$9,FALSE)-AG73)</f>
        <v>-</v>
      </c>
      <c r="BZ73" s="91" t="str">
        <f>IF(AH73="-","-",VLOOKUP($E73,CTPit!$E$10:$AW$75,BZ$9,FALSE)-AH73)</f>
        <v>-</v>
      </c>
      <c r="CA73" s="91" t="e">
        <f>IF(AI73="-","-",VLOOKUP($E73,CTPit!$E$10:$AW$75,CA$9,FALSE)-AI73)</f>
        <v>#N/A</v>
      </c>
      <c r="CB73" s="91" t="e">
        <f>IF(AJ73="-","-",VLOOKUP($E73,CTPit!$E$10:$AW$75,CB$9,FALSE)-AJ73)</f>
        <v>#N/A</v>
      </c>
      <c r="CC73" s="91" t="str">
        <f>IF(AK73="-","-",VLOOKUP($E73,CTPit!$E$10:$AW$75,CC$9,FALSE)-AK73)</f>
        <v>-</v>
      </c>
      <c r="CD73" s="91" t="str">
        <f>IF(AL73="-","-",VLOOKUP($E73,CTPit!$E$10:$AW$75,CD$9,FALSE)-AL73)</f>
        <v>-</v>
      </c>
      <c r="CE73" s="91" t="str">
        <f>IF(AM73="-","-",VLOOKUP($E73,CTPit!$E$10:$AW$75,CE$9,FALSE)-AM73)</f>
        <v>-</v>
      </c>
      <c r="CF73" s="91" t="str">
        <f>IF(AN73="-","-",VLOOKUP($E73,CTPit!$E$10:$AW$75,CF$9,FALSE)-AN73)</f>
        <v>-</v>
      </c>
      <c r="CG73" s="91" t="str">
        <f>IF(AO73="-","-",VLOOKUP($E73,CTPit!$E$10:$AW$75,CG$9,FALSE)-AO73)</f>
        <v>-</v>
      </c>
      <c r="CH73" s="91" t="str">
        <f>IF(AP73="-","-",VLOOKUP($E73,CTPit!$E$10:$AW$75,CH$9,FALSE)-AP73)</f>
        <v>-</v>
      </c>
      <c r="CI73" s="91" t="str">
        <f>IF(AQ73="-","-",VLOOKUP($E73,CTPit!$E$10:$AW$75,CI$9,FALSE)-AQ73)</f>
        <v>-</v>
      </c>
      <c r="CJ73" s="91" t="str">
        <f>IF(AR73="-","-",VLOOKUP($E73,CTPit!$E$10:$AW$75,CJ$9,FALSE)-AR73)</f>
        <v>-</v>
      </c>
      <c r="CK73" t="e">
        <f t="shared" si="26"/>
        <v>#N/A</v>
      </c>
    </row>
    <row r="74" spans="3:89">
      <c r="C74" t="str">
        <f t="shared" si="16"/>
        <v>K</v>
      </c>
      <c r="D74" t="s">
        <v>110</v>
      </c>
      <c r="E74" t="s">
        <v>414</v>
      </c>
      <c r="F74" t="s">
        <v>383</v>
      </c>
      <c r="G74" t="s">
        <v>327</v>
      </c>
      <c r="H74">
        <v>20</v>
      </c>
      <c r="I74" t="s">
        <v>107</v>
      </c>
      <c r="J74" s="223" t="s">
        <v>106</v>
      </c>
      <c r="K74" t="s">
        <v>47</v>
      </c>
      <c r="L74" t="s">
        <v>47</v>
      </c>
      <c r="M74" t="s">
        <v>231</v>
      </c>
      <c r="N74" s="223" t="s">
        <v>230</v>
      </c>
      <c r="O74">
        <v>5</v>
      </c>
      <c r="P74">
        <v>4</v>
      </c>
      <c r="Q74" s="223">
        <v>2</v>
      </c>
      <c r="R74">
        <v>5</v>
      </c>
      <c r="S74">
        <v>4</v>
      </c>
      <c r="T74" s="223">
        <v>2</v>
      </c>
      <c r="U74">
        <v>7</v>
      </c>
      <c r="V74">
        <v>7</v>
      </c>
      <c r="W74" t="s">
        <v>41</v>
      </c>
      <c r="X74" t="s">
        <v>41</v>
      </c>
      <c r="Y74" t="s">
        <v>41</v>
      </c>
      <c r="Z74" t="s">
        <v>41</v>
      </c>
      <c r="AA74">
        <v>5</v>
      </c>
      <c r="AB74">
        <v>5</v>
      </c>
      <c r="AC74" t="s">
        <v>41</v>
      </c>
      <c r="AD74" t="s">
        <v>41</v>
      </c>
      <c r="AE74" t="s">
        <v>41</v>
      </c>
      <c r="AF74" t="s">
        <v>41</v>
      </c>
      <c r="AG74" t="s">
        <v>41</v>
      </c>
      <c r="AH74" t="s">
        <v>41</v>
      </c>
      <c r="AI74" t="s">
        <v>41</v>
      </c>
      <c r="AJ74" t="s">
        <v>41</v>
      </c>
      <c r="AK74" t="s">
        <v>41</v>
      </c>
      <c r="AL74" t="s">
        <v>41</v>
      </c>
      <c r="AM74" t="s">
        <v>41</v>
      </c>
      <c r="AN74" t="s">
        <v>41</v>
      </c>
      <c r="AO74" t="s">
        <v>41</v>
      </c>
      <c r="AP74" t="s">
        <v>41</v>
      </c>
      <c r="AQ74" t="s">
        <v>41</v>
      </c>
      <c r="AR74" s="223" t="s">
        <v>41</v>
      </c>
      <c r="AS74" t="s">
        <v>11</v>
      </c>
      <c r="AT74">
        <v>3</v>
      </c>
      <c r="AU74" s="11">
        <v>0.52</v>
      </c>
      <c r="AV74" s="85" t="s">
        <v>41</v>
      </c>
      <c r="AW74" s="223">
        <v>0</v>
      </c>
      <c r="AX74" s="6">
        <f t="shared" si="17"/>
        <v>3.9166666666666665</v>
      </c>
      <c r="AY74" s="9" t="str">
        <f t="shared" si="18"/>
        <v>Minors</v>
      </c>
      <c r="AZ74" s="9">
        <f t="shared" si="19"/>
        <v>3.9166666666666665</v>
      </c>
      <c r="BA74" s="9" t="str">
        <f t="shared" si="20"/>
        <v>Minors</v>
      </c>
      <c r="BB74" s="9">
        <f t="shared" si="21"/>
        <v>3.9166666666666665</v>
      </c>
      <c r="BC74" s="9" t="str">
        <f t="shared" si="22"/>
        <v>Minors</v>
      </c>
      <c r="BD74" s="84">
        <f t="shared" si="23"/>
        <v>2</v>
      </c>
      <c r="BE74" s="83">
        <f t="shared" si="24"/>
        <v>1</v>
      </c>
      <c r="BF74" t="str">
        <f t="shared" si="25"/>
        <v/>
      </c>
      <c r="BG74" s="91" t="e">
        <f>IF(O74="-","-",VLOOKUP($E74,CTPit!$E$10:$AW$75,BG$9,FALSE)-O74)</f>
        <v>#N/A</v>
      </c>
      <c r="BH74" s="91" t="e">
        <f>IF(P74="-","-",VLOOKUP($E74,CTPit!$E$10:$AW$75,BH$9,FALSE)-P74)</f>
        <v>#N/A</v>
      </c>
      <c r="BI74" s="91" t="e">
        <f>IF(Q74="-","-",VLOOKUP($E74,CTPit!$E$10:$AW$75,BI$9,FALSE)-Q74)</f>
        <v>#N/A</v>
      </c>
      <c r="BJ74" s="91" t="e">
        <f>IF(R74="-","-",VLOOKUP($E74,CTPit!$E$10:$AW$75,BJ$9,FALSE)-R74)</f>
        <v>#N/A</v>
      </c>
      <c r="BK74" s="91" t="e">
        <f>IF(S74="-","-",VLOOKUP($E74,CTPit!$E$10:$AW$75,BK$9,FALSE)-S74)</f>
        <v>#N/A</v>
      </c>
      <c r="BL74" s="91" t="e">
        <f>IF(T74="-","-",VLOOKUP($E74,CTPit!$E$10:$AW$75,BL$9,FALSE)-T74)</f>
        <v>#N/A</v>
      </c>
      <c r="BM74" s="91" t="e">
        <f>IF(U74="-","-",VLOOKUP($E74,CTPit!$E$10:$AW$75,BM$9,FALSE)-U74)</f>
        <v>#N/A</v>
      </c>
      <c r="BN74" s="91" t="e">
        <f>IF(V74="-","-",VLOOKUP($E74,CTPit!$E$10:$AW$75,BN$9,FALSE)-V74)</f>
        <v>#N/A</v>
      </c>
      <c r="BO74" s="91" t="str">
        <f>IF(W74="-","-",VLOOKUP($E74,CTPit!$E$10:$AW$75,BO$9,FALSE)-W74)</f>
        <v>-</v>
      </c>
      <c r="BP74" s="91" t="str">
        <f>IF(X74="-","-",VLOOKUP($E74,CTPit!$E$10:$AW$75,BP$9,FALSE)-X74)</f>
        <v>-</v>
      </c>
      <c r="BQ74" s="91" t="str">
        <f>IF(Y74="-","-",VLOOKUP($E74,CTPit!$E$10:$AW$75,BQ$9,FALSE)-Y74)</f>
        <v>-</v>
      </c>
      <c r="BR74" s="91" t="str">
        <f>IF(Z74="-","-",VLOOKUP($E74,CTPit!$E$10:$AW$75,BR$9,FALSE)-Z74)</f>
        <v>-</v>
      </c>
      <c r="BS74" s="91" t="e">
        <f>IF(AA74="-","-",VLOOKUP($E74,CTPit!$E$10:$AW$75,BS$9,FALSE)-AA74)</f>
        <v>#N/A</v>
      </c>
      <c r="BT74" s="91" t="e">
        <f>IF(AB74="-","-",VLOOKUP($E74,CTPit!$E$10:$AW$75,BT$9,FALSE)-AB74)</f>
        <v>#N/A</v>
      </c>
      <c r="BU74" s="91" t="str">
        <f>IF(AC74="-","-",VLOOKUP($E74,CTPit!$E$10:$AW$75,BU$9,FALSE)-AC74)</f>
        <v>-</v>
      </c>
      <c r="BV74" s="91" t="str">
        <f>IF(AD74="-","-",VLOOKUP($E74,CTPit!$E$10:$AW$75,BV$9,FALSE)-AD74)</f>
        <v>-</v>
      </c>
      <c r="BW74" s="91" t="str">
        <f>IF(AE74="-","-",VLOOKUP($E74,CTPit!$E$10:$AW$75,BW$9,FALSE)-AE74)</f>
        <v>-</v>
      </c>
      <c r="BX74" s="91" t="str">
        <f>IF(AF74="-","-",VLOOKUP($E74,CTPit!$E$10:$AW$75,BX$9,FALSE)-AF74)</f>
        <v>-</v>
      </c>
      <c r="BY74" s="91" t="str">
        <f>IF(AG74="-","-",VLOOKUP($E74,CTPit!$E$10:$AW$75,BY$9,FALSE)-AG74)</f>
        <v>-</v>
      </c>
      <c r="BZ74" s="91" t="str">
        <f>IF(AH74="-","-",VLOOKUP($E74,CTPit!$E$10:$AW$75,BZ$9,FALSE)-AH74)</f>
        <v>-</v>
      </c>
      <c r="CA74" s="91" t="str">
        <f>IF(AI74="-","-",VLOOKUP($E74,CTPit!$E$10:$AW$75,CA$9,FALSE)-AI74)</f>
        <v>-</v>
      </c>
      <c r="CB74" s="91" t="str">
        <f>IF(AJ74="-","-",VLOOKUP($E74,CTPit!$E$10:$AW$75,CB$9,FALSE)-AJ74)</f>
        <v>-</v>
      </c>
      <c r="CC74" s="91" t="str">
        <f>IF(AK74="-","-",VLOOKUP($E74,CTPit!$E$10:$AW$75,CC$9,FALSE)-AK74)</f>
        <v>-</v>
      </c>
      <c r="CD74" s="91" t="str">
        <f>IF(AL74="-","-",VLOOKUP($E74,CTPit!$E$10:$AW$75,CD$9,FALSE)-AL74)</f>
        <v>-</v>
      </c>
      <c r="CE74" s="91" t="str">
        <f>IF(AM74="-","-",VLOOKUP($E74,CTPit!$E$10:$AW$75,CE$9,FALSE)-AM74)</f>
        <v>-</v>
      </c>
      <c r="CF74" s="91" t="str">
        <f>IF(AN74="-","-",VLOOKUP($E74,CTPit!$E$10:$AW$75,CF$9,FALSE)-AN74)</f>
        <v>-</v>
      </c>
      <c r="CG74" s="91" t="str">
        <f>IF(AO74="-","-",VLOOKUP($E74,CTPit!$E$10:$AW$75,CG$9,FALSE)-AO74)</f>
        <v>-</v>
      </c>
      <c r="CH74" s="91" t="str">
        <f>IF(AP74="-","-",VLOOKUP($E74,CTPit!$E$10:$AW$75,CH$9,FALSE)-AP74)</f>
        <v>-</v>
      </c>
      <c r="CI74" s="91" t="str">
        <f>IF(AQ74="-","-",VLOOKUP($E74,CTPit!$E$10:$AW$75,CI$9,FALSE)-AQ74)</f>
        <v>-</v>
      </c>
      <c r="CJ74" s="91" t="str">
        <f>IF(AR74="-","-",VLOOKUP($E74,CTPit!$E$10:$AW$75,CJ$9,FALSE)-AR74)</f>
        <v>-</v>
      </c>
      <c r="CK74" t="e">
        <f t="shared" si="26"/>
        <v>#N/A</v>
      </c>
    </row>
    <row r="75" spans="3:89">
      <c r="C75" t="str">
        <f t="shared" ref="C75:C84" si="27">IF(OR(M75&gt;7,AND(M75&gt;4,N75&gt;5)),"K","T")</f>
        <v>K</v>
      </c>
      <c r="D75" t="s">
        <v>111</v>
      </c>
      <c r="E75" t="s">
        <v>516</v>
      </c>
      <c r="F75" t="s">
        <v>383</v>
      </c>
      <c r="G75" t="s">
        <v>327</v>
      </c>
      <c r="H75">
        <v>22</v>
      </c>
      <c r="I75" t="s">
        <v>106</v>
      </c>
      <c r="J75" s="223" t="s">
        <v>106</v>
      </c>
      <c r="K75" t="s">
        <v>47</v>
      </c>
      <c r="L75" t="s">
        <v>47</v>
      </c>
      <c r="M75" t="s">
        <v>229</v>
      </c>
      <c r="N75" s="223" t="s">
        <v>230</v>
      </c>
      <c r="O75">
        <v>5</v>
      </c>
      <c r="P75">
        <v>3</v>
      </c>
      <c r="Q75" s="223">
        <v>2</v>
      </c>
      <c r="R75">
        <v>5</v>
      </c>
      <c r="S75">
        <v>3</v>
      </c>
      <c r="T75" s="223">
        <v>3</v>
      </c>
      <c r="U75">
        <v>6</v>
      </c>
      <c r="V75">
        <v>6</v>
      </c>
      <c r="W75">
        <v>5</v>
      </c>
      <c r="X75">
        <v>6</v>
      </c>
      <c r="Y75" t="s">
        <v>41</v>
      </c>
      <c r="Z75" t="s">
        <v>41</v>
      </c>
      <c r="AA75">
        <v>5</v>
      </c>
      <c r="AB75">
        <v>6</v>
      </c>
      <c r="AC75" t="s">
        <v>41</v>
      </c>
      <c r="AD75" t="s">
        <v>41</v>
      </c>
      <c r="AE75" t="s">
        <v>41</v>
      </c>
      <c r="AF75" t="s">
        <v>41</v>
      </c>
      <c r="AG75" t="s">
        <v>41</v>
      </c>
      <c r="AH75" t="s">
        <v>41</v>
      </c>
      <c r="AI75">
        <v>4</v>
      </c>
      <c r="AJ75">
        <v>4</v>
      </c>
      <c r="AK75" t="s">
        <v>41</v>
      </c>
      <c r="AL75" t="s">
        <v>41</v>
      </c>
      <c r="AM75" t="s">
        <v>41</v>
      </c>
      <c r="AN75" t="s">
        <v>41</v>
      </c>
      <c r="AO75" t="s">
        <v>41</v>
      </c>
      <c r="AP75" t="s">
        <v>41</v>
      </c>
      <c r="AQ75" t="s">
        <v>41</v>
      </c>
      <c r="AR75" s="223" t="s">
        <v>41</v>
      </c>
      <c r="AS75" t="s">
        <v>3</v>
      </c>
      <c r="AT75">
        <v>8</v>
      </c>
      <c r="AU75" s="11">
        <v>0.42</v>
      </c>
      <c r="AV75" s="85" t="s">
        <v>41</v>
      </c>
      <c r="AW75" s="223">
        <v>0</v>
      </c>
      <c r="AX75" s="6">
        <f t="shared" ref="AX75:AX84" si="28">AVERAGE(O75:Q75)+0.25*MAX(0,(COUNT(U75,W75,Y75,AA75,AC75,AE75,AG75,AI75,AK75,AM75,AO75,AQ75)-3))+IF(AU75&gt;0.55,0.25,0)+IF(MAX(U75,W75,Y75,AA75,AC75,AE75,AG75,AI75,AK75,AM75,AO75,AQ75)&gt;5,0.25,0)</f>
        <v>3.8333333333333335</v>
      </c>
      <c r="AY75" s="9" t="str">
        <f t="shared" ref="AY75:AY84" si="29">IF(AX75&gt;9,"SuperStar",IF(AX75&gt;8,"Star",IF(AX75&gt;6.5,"GoodReg",IF(AX75&gt;5,"Reg",IF(AX75&gt;4,"Bench","Minors")))))</f>
        <v>Minors</v>
      </c>
      <c r="AZ75" s="9">
        <f t="shared" ref="AZ75:AZ84" si="30">AVERAGE(R75:T75)+0.25*MAX(0,(COUNT(V75,X75,Z75,AB75,AD75,AF75,AH75,AJ75,AL75,AN75,AP75,AR75)-3))+IF(AU75&gt;0.55,0.25,0)+IF(MAX(V75,X75,Z75,AB75,AD75,AF75,AH75,AJ75,AL75,AN75,AP75,AR75)&gt;5,0.25,0)</f>
        <v>4.1666666666666661</v>
      </c>
      <c r="BA75" s="9" t="str">
        <f t="shared" ref="BA75:BA84" si="31">IF(AZ75&gt;9,"SuperStar",IF(AZ75&gt;8,"Star",IF(AZ75&gt;6.5,"GoodReg",IF(AZ75&gt;5,"Reg",IF(AZ75&gt;4,"Bench","Minors")))))</f>
        <v>Bench</v>
      </c>
      <c r="BB75" s="9">
        <f t="shared" ref="BB75:BB84" si="32">MIN(AX75+(MAX(0,25-S75))^1.5,AZ75)</f>
        <v>4.1666666666666661</v>
      </c>
      <c r="BC75" s="9" t="str">
        <f t="shared" ref="BC75:BC84" si="33">IF(BB75&gt;9,"SuperStar",IF(BB75&gt;8,"Star",IF(BB75&gt;6.5,"GoodReg",IF(BB75&gt;5,"Reg",IF(BB75&gt;4,"Bench","Minors")))))</f>
        <v>Bench</v>
      </c>
      <c r="BD75" s="84">
        <f t="shared" ref="BD75:BD84" si="34">COUNT(U75:AR75)/2</f>
        <v>4</v>
      </c>
      <c r="BE75" s="83">
        <f t="shared" ref="BE75:BE84" si="35">COUNTIF(U75:AR75,"&gt;5")/2</f>
        <v>2</v>
      </c>
      <c r="BF75" t="str">
        <f t="shared" ref="BF75:BF84" si="36">IF(AW75=1,"Yes","")</f>
        <v/>
      </c>
      <c r="BG75" s="91" t="e">
        <f>IF(O75="-","-",VLOOKUP($E75,CTPit!$E$10:$AW$75,BG$9,FALSE)-O75)</f>
        <v>#N/A</v>
      </c>
      <c r="BH75" s="91" t="e">
        <f>IF(P75="-","-",VLOOKUP($E75,CTPit!$E$10:$AW$75,BH$9,FALSE)-P75)</f>
        <v>#N/A</v>
      </c>
      <c r="BI75" s="91" t="e">
        <f>IF(Q75="-","-",VLOOKUP($E75,CTPit!$E$10:$AW$75,BI$9,FALSE)-Q75)</f>
        <v>#N/A</v>
      </c>
      <c r="BJ75" s="91" t="e">
        <f>IF(R75="-","-",VLOOKUP($E75,CTPit!$E$10:$AW$75,BJ$9,FALSE)-R75)</f>
        <v>#N/A</v>
      </c>
      <c r="BK75" s="91" t="e">
        <f>IF(S75="-","-",VLOOKUP($E75,CTPit!$E$10:$AW$75,BK$9,FALSE)-S75)</f>
        <v>#N/A</v>
      </c>
      <c r="BL75" s="91" t="e">
        <f>IF(T75="-","-",VLOOKUP($E75,CTPit!$E$10:$AW$75,BL$9,FALSE)-T75)</f>
        <v>#N/A</v>
      </c>
      <c r="BM75" s="91" t="e">
        <f>IF(U75="-","-",VLOOKUP($E75,CTPit!$E$10:$AW$75,BM$9,FALSE)-U75)</f>
        <v>#N/A</v>
      </c>
      <c r="BN75" s="91" t="e">
        <f>IF(V75="-","-",VLOOKUP($E75,CTPit!$E$10:$AW$75,BN$9,FALSE)-V75)</f>
        <v>#N/A</v>
      </c>
      <c r="BO75" s="91" t="e">
        <f>IF(W75="-","-",VLOOKUP($E75,CTPit!$E$10:$AW$75,BO$9,FALSE)-W75)</f>
        <v>#N/A</v>
      </c>
      <c r="BP75" s="91" t="e">
        <f>IF(X75="-","-",VLOOKUP($E75,CTPit!$E$10:$AW$75,BP$9,FALSE)-X75)</f>
        <v>#N/A</v>
      </c>
      <c r="BQ75" s="91" t="str">
        <f>IF(Y75="-","-",VLOOKUP($E75,CTPit!$E$10:$AW$75,BQ$9,FALSE)-Y75)</f>
        <v>-</v>
      </c>
      <c r="BR75" s="91" t="str">
        <f>IF(Z75="-","-",VLOOKUP($E75,CTPit!$E$10:$AW$75,BR$9,FALSE)-Z75)</f>
        <v>-</v>
      </c>
      <c r="BS75" s="91" t="e">
        <f>IF(AA75="-","-",VLOOKUP($E75,CTPit!$E$10:$AW$75,BS$9,FALSE)-AA75)</f>
        <v>#N/A</v>
      </c>
      <c r="BT75" s="91" t="e">
        <f>IF(AB75="-","-",VLOOKUP($E75,CTPit!$E$10:$AW$75,BT$9,FALSE)-AB75)</f>
        <v>#N/A</v>
      </c>
      <c r="BU75" s="91" t="str">
        <f>IF(AC75="-","-",VLOOKUP($E75,CTPit!$E$10:$AW$75,BU$9,FALSE)-AC75)</f>
        <v>-</v>
      </c>
      <c r="BV75" s="91" t="str">
        <f>IF(AD75="-","-",VLOOKUP($E75,CTPit!$E$10:$AW$75,BV$9,FALSE)-AD75)</f>
        <v>-</v>
      </c>
      <c r="BW75" s="91" t="str">
        <f>IF(AE75="-","-",VLOOKUP($E75,CTPit!$E$10:$AW$75,BW$9,FALSE)-AE75)</f>
        <v>-</v>
      </c>
      <c r="BX75" s="91" t="str">
        <f>IF(AF75="-","-",VLOOKUP($E75,CTPit!$E$10:$AW$75,BX$9,FALSE)-AF75)</f>
        <v>-</v>
      </c>
      <c r="BY75" s="91" t="str">
        <f>IF(AG75="-","-",VLOOKUP($E75,CTPit!$E$10:$AW$75,BY$9,FALSE)-AG75)</f>
        <v>-</v>
      </c>
      <c r="BZ75" s="91" t="str">
        <f>IF(AH75="-","-",VLOOKUP($E75,CTPit!$E$10:$AW$75,BZ$9,FALSE)-AH75)</f>
        <v>-</v>
      </c>
      <c r="CA75" s="91" t="e">
        <f>IF(AI75="-","-",VLOOKUP($E75,CTPit!$E$10:$AW$75,CA$9,FALSE)-AI75)</f>
        <v>#N/A</v>
      </c>
      <c r="CB75" s="91" t="e">
        <f>IF(AJ75="-","-",VLOOKUP($E75,CTPit!$E$10:$AW$75,CB$9,FALSE)-AJ75)</f>
        <v>#N/A</v>
      </c>
      <c r="CC75" s="91" t="str">
        <f>IF(AK75="-","-",VLOOKUP($E75,CTPit!$E$10:$AW$75,CC$9,FALSE)-AK75)</f>
        <v>-</v>
      </c>
      <c r="CD75" s="91" t="str">
        <f>IF(AL75="-","-",VLOOKUP($E75,CTPit!$E$10:$AW$75,CD$9,FALSE)-AL75)</f>
        <v>-</v>
      </c>
      <c r="CE75" s="91" t="str">
        <f>IF(AM75="-","-",VLOOKUP($E75,CTPit!$E$10:$AW$75,CE$9,FALSE)-AM75)</f>
        <v>-</v>
      </c>
      <c r="CF75" s="91" t="str">
        <f>IF(AN75="-","-",VLOOKUP($E75,CTPit!$E$10:$AW$75,CF$9,FALSE)-AN75)</f>
        <v>-</v>
      </c>
      <c r="CG75" s="91" t="str">
        <f>IF(AO75="-","-",VLOOKUP($E75,CTPit!$E$10:$AW$75,CG$9,FALSE)-AO75)</f>
        <v>-</v>
      </c>
      <c r="CH75" s="91" t="str">
        <f>IF(AP75="-","-",VLOOKUP($E75,CTPit!$E$10:$AW$75,CH$9,FALSE)-AP75)</f>
        <v>-</v>
      </c>
      <c r="CI75" s="91" t="str">
        <f>IF(AQ75="-","-",VLOOKUP($E75,CTPit!$E$10:$AW$75,CI$9,FALSE)-AQ75)</f>
        <v>-</v>
      </c>
      <c r="CJ75" s="91" t="str">
        <f>IF(AR75="-","-",VLOOKUP($E75,CTPit!$E$10:$AW$75,CJ$9,FALSE)-AR75)</f>
        <v>-</v>
      </c>
      <c r="CK75" t="e">
        <f t="shared" ref="CK75:CK84" si="37">SUM(BG75:CJ75)</f>
        <v>#N/A</v>
      </c>
    </row>
    <row r="76" spans="3:89">
      <c r="C76" t="str">
        <f t="shared" si="27"/>
        <v>K</v>
      </c>
      <c r="D76" t="s">
        <v>110</v>
      </c>
      <c r="E76" t="s">
        <v>412</v>
      </c>
      <c r="F76" t="s">
        <v>383</v>
      </c>
      <c r="G76" t="s">
        <v>327</v>
      </c>
      <c r="H76">
        <v>20</v>
      </c>
      <c r="I76" t="s">
        <v>109</v>
      </c>
      <c r="J76" s="223" t="s">
        <v>107</v>
      </c>
      <c r="K76" t="s">
        <v>47</v>
      </c>
      <c r="L76" t="s">
        <v>47</v>
      </c>
      <c r="M76" t="s">
        <v>228</v>
      </c>
      <c r="N76" s="223" t="s">
        <v>230</v>
      </c>
      <c r="O76">
        <v>3</v>
      </c>
      <c r="P76">
        <v>4</v>
      </c>
      <c r="Q76" s="223">
        <v>4</v>
      </c>
      <c r="R76">
        <v>3</v>
      </c>
      <c r="S76">
        <v>4</v>
      </c>
      <c r="T76" s="223">
        <v>4</v>
      </c>
      <c r="U76">
        <v>4</v>
      </c>
      <c r="V76">
        <v>4</v>
      </c>
      <c r="W76" t="s">
        <v>41</v>
      </c>
      <c r="X76" t="s">
        <v>41</v>
      </c>
      <c r="Y76">
        <v>3</v>
      </c>
      <c r="Z76">
        <v>3</v>
      </c>
      <c r="AA76" t="s">
        <v>41</v>
      </c>
      <c r="AB76" t="s">
        <v>41</v>
      </c>
      <c r="AC76" t="s">
        <v>41</v>
      </c>
      <c r="AD76" t="s">
        <v>41</v>
      </c>
      <c r="AE76" t="s">
        <v>41</v>
      </c>
      <c r="AF76" t="s">
        <v>41</v>
      </c>
      <c r="AG76" t="s">
        <v>41</v>
      </c>
      <c r="AH76" t="s">
        <v>41</v>
      </c>
      <c r="AI76" t="s">
        <v>41</v>
      </c>
      <c r="AJ76" t="s">
        <v>41</v>
      </c>
      <c r="AK76" t="s">
        <v>41</v>
      </c>
      <c r="AL76" t="s">
        <v>41</v>
      </c>
      <c r="AM76" t="s">
        <v>41</v>
      </c>
      <c r="AN76" t="s">
        <v>41</v>
      </c>
      <c r="AO76" t="s">
        <v>41</v>
      </c>
      <c r="AP76" t="s">
        <v>41</v>
      </c>
      <c r="AQ76" t="s">
        <v>41</v>
      </c>
      <c r="AR76" s="223" t="s">
        <v>41</v>
      </c>
      <c r="AS76" t="s">
        <v>6</v>
      </c>
      <c r="AT76">
        <v>5</v>
      </c>
      <c r="AU76" s="11">
        <v>0.44</v>
      </c>
      <c r="AV76" s="85" t="s">
        <v>41</v>
      </c>
      <c r="AW76" s="223">
        <v>0</v>
      </c>
      <c r="AX76" s="6">
        <f t="shared" si="28"/>
        <v>3.6666666666666665</v>
      </c>
      <c r="AY76" s="9" t="str">
        <f t="shared" si="29"/>
        <v>Minors</v>
      </c>
      <c r="AZ76" s="9">
        <f t="shared" si="30"/>
        <v>3.6666666666666665</v>
      </c>
      <c r="BA76" s="9" t="str">
        <f t="shared" si="31"/>
        <v>Minors</v>
      </c>
      <c r="BB76" s="9">
        <f t="shared" si="32"/>
        <v>3.6666666666666665</v>
      </c>
      <c r="BC76" s="9" t="str">
        <f t="shared" si="33"/>
        <v>Minors</v>
      </c>
      <c r="BD76" s="84">
        <f t="shared" si="34"/>
        <v>2</v>
      </c>
      <c r="BE76" s="83">
        <f t="shared" si="35"/>
        <v>0</v>
      </c>
      <c r="BF76" t="str">
        <f t="shared" si="36"/>
        <v/>
      </c>
      <c r="BG76" s="91" t="e">
        <f>IF(O76="-","-",VLOOKUP($E76,CTPit!$E$10:$AW$75,BG$9,FALSE)-O76)</f>
        <v>#N/A</v>
      </c>
      <c r="BH76" s="91" t="e">
        <f>IF(P76="-","-",VLOOKUP($E76,CTPit!$E$10:$AW$75,BH$9,FALSE)-P76)</f>
        <v>#N/A</v>
      </c>
      <c r="BI76" s="91" t="e">
        <f>IF(Q76="-","-",VLOOKUP($E76,CTPit!$E$10:$AW$75,BI$9,FALSE)-Q76)</f>
        <v>#N/A</v>
      </c>
      <c r="BJ76" s="91" t="e">
        <f>IF(R76="-","-",VLOOKUP($E76,CTPit!$E$10:$AW$75,BJ$9,FALSE)-R76)</f>
        <v>#N/A</v>
      </c>
      <c r="BK76" s="91" t="e">
        <f>IF(S76="-","-",VLOOKUP($E76,CTPit!$E$10:$AW$75,BK$9,FALSE)-S76)</f>
        <v>#N/A</v>
      </c>
      <c r="BL76" s="91" t="e">
        <f>IF(T76="-","-",VLOOKUP($E76,CTPit!$E$10:$AW$75,BL$9,FALSE)-T76)</f>
        <v>#N/A</v>
      </c>
      <c r="BM76" s="91" t="e">
        <f>IF(U76="-","-",VLOOKUP($E76,CTPit!$E$10:$AW$75,BM$9,FALSE)-U76)</f>
        <v>#N/A</v>
      </c>
      <c r="BN76" s="91" t="e">
        <f>IF(V76="-","-",VLOOKUP($E76,CTPit!$E$10:$AW$75,BN$9,FALSE)-V76)</f>
        <v>#N/A</v>
      </c>
      <c r="BO76" s="91" t="str">
        <f>IF(W76="-","-",VLOOKUP($E76,CTPit!$E$10:$AW$75,BO$9,FALSE)-W76)</f>
        <v>-</v>
      </c>
      <c r="BP76" s="91" t="str">
        <f>IF(X76="-","-",VLOOKUP($E76,CTPit!$E$10:$AW$75,BP$9,FALSE)-X76)</f>
        <v>-</v>
      </c>
      <c r="BQ76" s="91" t="e">
        <f>IF(Y76="-","-",VLOOKUP($E76,CTPit!$E$10:$AW$75,BQ$9,FALSE)-Y76)</f>
        <v>#N/A</v>
      </c>
      <c r="BR76" s="91" t="e">
        <f>IF(Z76="-","-",VLOOKUP($E76,CTPit!$E$10:$AW$75,BR$9,FALSE)-Z76)</f>
        <v>#N/A</v>
      </c>
      <c r="BS76" s="91" t="str">
        <f>IF(AA76="-","-",VLOOKUP($E76,CTPit!$E$10:$AW$75,BS$9,FALSE)-AA76)</f>
        <v>-</v>
      </c>
      <c r="BT76" s="91" t="str">
        <f>IF(AB76="-","-",VLOOKUP($E76,CTPit!$E$10:$AW$75,BT$9,FALSE)-AB76)</f>
        <v>-</v>
      </c>
      <c r="BU76" s="91" t="str">
        <f>IF(AC76="-","-",VLOOKUP($E76,CTPit!$E$10:$AW$75,BU$9,FALSE)-AC76)</f>
        <v>-</v>
      </c>
      <c r="BV76" s="91" t="str">
        <f>IF(AD76="-","-",VLOOKUP($E76,CTPit!$E$10:$AW$75,BV$9,FALSE)-AD76)</f>
        <v>-</v>
      </c>
      <c r="BW76" s="91" t="str">
        <f>IF(AE76="-","-",VLOOKUP($E76,CTPit!$E$10:$AW$75,BW$9,FALSE)-AE76)</f>
        <v>-</v>
      </c>
      <c r="BX76" s="91" t="str">
        <f>IF(AF76="-","-",VLOOKUP($E76,CTPit!$E$10:$AW$75,BX$9,FALSE)-AF76)</f>
        <v>-</v>
      </c>
      <c r="BY76" s="91" t="str">
        <f>IF(AG76="-","-",VLOOKUP($E76,CTPit!$E$10:$AW$75,BY$9,FALSE)-AG76)</f>
        <v>-</v>
      </c>
      <c r="BZ76" s="91" t="str">
        <f>IF(AH76="-","-",VLOOKUP($E76,CTPit!$E$10:$AW$75,BZ$9,FALSE)-AH76)</f>
        <v>-</v>
      </c>
      <c r="CA76" s="91" t="str">
        <f>IF(AI76="-","-",VLOOKUP($E76,CTPit!$E$10:$AW$75,CA$9,FALSE)-AI76)</f>
        <v>-</v>
      </c>
      <c r="CB76" s="91" t="str">
        <f>IF(AJ76="-","-",VLOOKUP($E76,CTPit!$E$10:$AW$75,CB$9,FALSE)-AJ76)</f>
        <v>-</v>
      </c>
      <c r="CC76" s="91" t="str">
        <f>IF(AK76="-","-",VLOOKUP($E76,CTPit!$E$10:$AW$75,CC$9,FALSE)-AK76)</f>
        <v>-</v>
      </c>
      <c r="CD76" s="91" t="str">
        <f>IF(AL76="-","-",VLOOKUP($E76,CTPit!$E$10:$AW$75,CD$9,FALSE)-AL76)</f>
        <v>-</v>
      </c>
      <c r="CE76" s="91" t="str">
        <f>IF(AM76="-","-",VLOOKUP($E76,CTPit!$E$10:$AW$75,CE$9,FALSE)-AM76)</f>
        <v>-</v>
      </c>
      <c r="CF76" s="91" t="str">
        <f>IF(AN76="-","-",VLOOKUP($E76,CTPit!$E$10:$AW$75,CF$9,FALSE)-AN76)</f>
        <v>-</v>
      </c>
      <c r="CG76" s="91" t="str">
        <f>IF(AO76="-","-",VLOOKUP($E76,CTPit!$E$10:$AW$75,CG$9,FALSE)-AO76)</f>
        <v>-</v>
      </c>
      <c r="CH76" s="91" t="str">
        <f>IF(AP76="-","-",VLOOKUP($E76,CTPit!$E$10:$AW$75,CH$9,FALSE)-AP76)</f>
        <v>-</v>
      </c>
      <c r="CI76" s="91" t="str">
        <f>IF(AQ76="-","-",VLOOKUP($E76,CTPit!$E$10:$AW$75,CI$9,FALSE)-AQ76)</f>
        <v>-</v>
      </c>
      <c r="CJ76" s="91" t="str">
        <f>IF(AR76="-","-",VLOOKUP($E76,CTPit!$E$10:$AW$75,CJ$9,FALSE)-AR76)</f>
        <v>-</v>
      </c>
      <c r="CK76" t="e">
        <f t="shared" si="37"/>
        <v>#N/A</v>
      </c>
    </row>
    <row r="77" spans="3:89">
      <c r="C77" t="str">
        <f t="shared" si="27"/>
        <v>K</v>
      </c>
      <c r="D77" t="s">
        <v>111</v>
      </c>
      <c r="E77" t="s">
        <v>454</v>
      </c>
      <c r="F77" t="s">
        <v>25</v>
      </c>
      <c r="G77" t="s">
        <v>212</v>
      </c>
      <c r="H77" s="281">
        <v>32</v>
      </c>
      <c r="I77" t="s">
        <v>107</v>
      </c>
      <c r="J77" t="s">
        <v>107</v>
      </c>
      <c r="K77" t="s">
        <v>42</v>
      </c>
      <c r="L77" s="281" t="s">
        <v>42</v>
      </c>
      <c r="M77" t="s">
        <v>232</v>
      </c>
      <c r="N77" t="s">
        <v>231</v>
      </c>
      <c r="O77" s="281">
        <v>6</v>
      </c>
      <c r="P77">
        <v>5</v>
      </c>
      <c r="Q77">
        <v>6</v>
      </c>
      <c r="R77" s="281">
        <v>6</v>
      </c>
      <c r="S77">
        <v>5</v>
      </c>
      <c r="T77">
        <v>6</v>
      </c>
      <c r="U77">
        <v>5</v>
      </c>
      <c r="V77">
        <v>5</v>
      </c>
      <c r="W77">
        <v>5</v>
      </c>
      <c r="X77">
        <v>5</v>
      </c>
      <c r="Y77" t="s">
        <v>41</v>
      </c>
      <c r="Z77" t="s">
        <v>41</v>
      </c>
      <c r="AA77">
        <v>5</v>
      </c>
      <c r="AB77">
        <v>5</v>
      </c>
      <c r="AC77">
        <v>5</v>
      </c>
      <c r="AD77">
        <v>6</v>
      </c>
      <c r="AE77">
        <v>5</v>
      </c>
      <c r="AF77">
        <v>5</v>
      </c>
      <c r="AG77">
        <v>5</v>
      </c>
      <c r="AH77">
        <v>5</v>
      </c>
      <c r="AI77" t="s">
        <v>41</v>
      </c>
      <c r="AJ77" t="s">
        <v>41</v>
      </c>
      <c r="AK77" t="s">
        <v>41</v>
      </c>
      <c r="AL77" t="s">
        <v>41</v>
      </c>
      <c r="AM77" t="s">
        <v>41</v>
      </c>
      <c r="AN77" t="s">
        <v>41</v>
      </c>
      <c r="AO77">
        <v>5</v>
      </c>
      <c r="AP77" s="281">
        <v>5</v>
      </c>
      <c r="AQ77" t="s">
        <v>41</v>
      </c>
      <c r="AR77" t="s">
        <v>41</v>
      </c>
      <c r="AS77" s="281" t="s">
        <v>6</v>
      </c>
      <c r="AT77">
        <v>9</v>
      </c>
      <c r="AU77" s="11">
        <v>0.66</v>
      </c>
      <c r="AV77" s="85">
        <v>490000</v>
      </c>
      <c r="AW77" s="280" t="s">
        <v>45</v>
      </c>
      <c r="AX77" s="6">
        <f t="shared" si="28"/>
        <v>6.916666666666667</v>
      </c>
      <c r="AY77" s="9" t="str">
        <f t="shared" si="29"/>
        <v>GoodReg</v>
      </c>
      <c r="AZ77" s="9">
        <f t="shared" si="30"/>
        <v>7.166666666666667</v>
      </c>
      <c r="BA77" s="9" t="str">
        <f t="shared" si="31"/>
        <v>GoodReg</v>
      </c>
      <c r="BB77" s="9">
        <f t="shared" si="32"/>
        <v>7.166666666666667</v>
      </c>
      <c r="BC77" s="9" t="str">
        <f t="shared" si="33"/>
        <v>GoodReg</v>
      </c>
      <c r="BD77" s="84">
        <f t="shared" si="34"/>
        <v>7</v>
      </c>
      <c r="BE77" s="83">
        <f t="shared" si="35"/>
        <v>0.5</v>
      </c>
      <c r="BF77" t="str">
        <f t="shared" si="36"/>
        <v/>
      </c>
      <c r="BG77" s="91">
        <f>IF(O77="-","-",VLOOKUP($E77,CTPit!$E$10:$AW$75,BG$9,FALSE)-O77)</f>
        <v>0</v>
      </c>
      <c r="BH77" s="91">
        <f>IF(P77="-","-",VLOOKUP($E77,CTPit!$E$10:$AW$75,BH$9,FALSE)-P77)</f>
        <v>0</v>
      </c>
      <c r="BI77" s="91">
        <f>IF(Q77="-","-",VLOOKUP($E77,CTPit!$E$10:$AW$75,BI$9,FALSE)-Q77)</f>
        <v>0</v>
      </c>
      <c r="BJ77" s="91">
        <f>IF(R77="-","-",VLOOKUP($E77,CTPit!$E$10:$AW$75,BJ$9,FALSE)-R77)</f>
        <v>0</v>
      </c>
      <c r="BK77" s="91">
        <f>IF(S77="-","-",VLOOKUP($E77,CTPit!$E$10:$AW$75,BK$9,FALSE)-S77)</f>
        <v>0</v>
      </c>
      <c r="BL77" s="91">
        <f>IF(T77="-","-",VLOOKUP($E77,CTPit!$E$10:$AW$75,BL$9,FALSE)-T77)</f>
        <v>0</v>
      </c>
      <c r="BM77" s="91">
        <f>IF(U77="-","-",VLOOKUP($E77,CTPit!$E$10:$AW$75,BM$9,FALSE)-U77)</f>
        <v>0</v>
      </c>
      <c r="BN77" s="91">
        <f>IF(V77="-","-",VLOOKUP($E77,CTPit!$E$10:$AW$75,BN$9,FALSE)-V77)</f>
        <v>0</v>
      </c>
      <c r="BO77" s="91">
        <f>IF(W77="-","-",VLOOKUP($E77,CTPit!$E$10:$AW$75,BO$9,FALSE)-W77)</f>
        <v>0</v>
      </c>
      <c r="BP77" s="91">
        <f>IF(X77="-","-",VLOOKUP($E77,CTPit!$E$10:$AW$75,BP$9,FALSE)-X77)</f>
        <v>0</v>
      </c>
      <c r="BQ77" s="91" t="str">
        <f>IF(Y77="-","-",VLOOKUP($E77,CTPit!$E$10:$AW$75,BQ$9,FALSE)-Y77)</f>
        <v>-</v>
      </c>
      <c r="BR77" s="91" t="str">
        <f>IF(Z77="-","-",VLOOKUP($E77,CTPit!$E$10:$AW$75,BR$9,FALSE)-Z77)</f>
        <v>-</v>
      </c>
      <c r="BS77" s="91">
        <f>IF(AA77="-","-",VLOOKUP($E77,CTPit!$E$10:$AW$75,BS$9,FALSE)-AA77)</f>
        <v>0</v>
      </c>
      <c r="BT77" s="91">
        <f>IF(AB77="-","-",VLOOKUP($E77,CTPit!$E$10:$AW$75,BT$9,FALSE)-AB77)</f>
        <v>0</v>
      </c>
      <c r="BU77" s="91">
        <f>IF(AC77="-","-",VLOOKUP($E77,CTPit!$E$10:$AW$75,BU$9,FALSE)-AC77)</f>
        <v>0</v>
      </c>
      <c r="BV77" s="91">
        <f>IF(AD77="-","-",VLOOKUP($E77,CTPit!$E$10:$AW$75,BV$9,FALSE)-AD77)</f>
        <v>-1</v>
      </c>
      <c r="BW77" s="91">
        <f>IF(AE77="-","-",VLOOKUP($E77,CTPit!$E$10:$AW$75,BW$9,FALSE)-AE77)</f>
        <v>0</v>
      </c>
      <c r="BX77" s="91">
        <f>IF(AF77="-","-",VLOOKUP($E77,CTPit!$E$10:$AW$75,BX$9,FALSE)-AF77)</f>
        <v>0</v>
      </c>
      <c r="BY77" s="91">
        <f>IF(AG77="-","-",VLOOKUP($E77,CTPit!$E$10:$AW$75,BY$9,FALSE)-AG77)</f>
        <v>0</v>
      </c>
      <c r="BZ77" s="91">
        <f>IF(AH77="-","-",VLOOKUP($E77,CTPit!$E$10:$AW$75,BZ$9,FALSE)-AH77)</f>
        <v>0</v>
      </c>
      <c r="CA77" s="91" t="str">
        <f>IF(AI77="-","-",VLOOKUP($E77,CTPit!$E$10:$AW$75,CA$9,FALSE)-AI77)</f>
        <v>-</v>
      </c>
      <c r="CB77" s="91" t="str">
        <f>IF(AJ77="-","-",VLOOKUP($E77,CTPit!$E$10:$AW$75,CB$9,FALSE)-AJ77)</f>
        <v>-</v>
      </c>
      <c r="CC77" s="91" t="str">
        <f>IF(AK77="-","-",VLOOKUP($E77,CTPit!$E$10:$AW$75,CC$9,FALSE)-AK77)</f>
        <v>-</v>
      </c>
      <c r="CD77" s="91" t="str">
        <f>IF(AL77="-","-",VLOOKUP($E77,CTPit!$E$10:$AW$75,CD$9,FALSE)-AL77)</f>
        <v>-</v>
      </c>
      <c r="CE77" s="91" t="str">
        <f>IF(AM77="-","-",VLOOKUP($E77,CTPit!$E$10:$AW$75,CE$9,FALSE)-AM77)</f>
        <v>-</v>
      </c>
      <c r="CF77" s="91" t="str">
        <f>IF(AN77="-","-",VLOOKUP($E77,CTPit!$E$10:$AW$75,CF$9,FALSE)-AN77)</f>
        <v>-</v>
      </c>
      <c r="CG77" s="91">
        <f>IF(AO77="-","-",VLOOKUP($E77,CTPit!$E$10:$AW$75,CG$9,FALSE)-AO77)</f>
        <v>0</v>
      </c>
      <c r="CH77" s="91">
        <f>IF(AP77="-","-",VLOOKUP($E77,CTPit!$E$10:$AW$75,CH$9,FALSE)-AP77)</f>
        <v>0</v>
      </c>
      <c r="CI77" s="91" t="str">
        <f>IF(AQ77="-","-",VLOOKUP($E77,CTPit!$E$10:$AW$75,CI$9,FALSE)-AQ77)</f>
        <v>-</v>
      </c>
      <c r="CJ77" s="91" t="str">
        <f>IF(AR77="-","-",VLOOKUP($E77,CTPit!$E$10:$AW$75,CJ$9,FALSE)-AR77)</f>
        <v>-</v>
      </c>
      <c r="CK77">
        <f t="shared" si="37"/>
        <v>-1</v>
      </c>
    </row>
    <row r="78" spans="3:89">
      <c r="C78" t="str">
        <f t="shared" si="27"/>
        <v>K</v>
      </c>
      <c r="D78" t="s">
        <v>110</v>
      </c>
      <c r="E78" t="s">
        <v>389</v>
      </c>
      <c r="F78" t="s">
        <v>385</v>
      </c>
      <c r="G78" t="s">
        <v>214</v>
      </c>
      <c r="H78" s="281">
        <v>21</v>
      </c>
      <c r="I78" t="s">
        <v>107</v>
      </c>
      <c r="J78" t="s">
        <v>107</v>
      </c>
      <c r="K78" t="s">
        <v>47</v>
      </c>
      <c r="L78" s="281" t="s">
        <v>42</v>
      </c>
      <c r="M78" t="s">
        <v>229</v>
      </c>
      <c r="N78" t="s">
        <v>230</v>
      </c>
      <c r="O78" s="281">
        <v>6</v>
      </c>
      <c r="P78">
        <v>4</v>
      </c>
      <c r="Q78">
        <v>3</v>
      </c>
      <c r="R78" s="281">
        <v>7</v>
      </c>
      <c r="S78">
        <v>4</v>
      </c>
      <c r="T78">
        <v>4</v>
      </c>
      <c r="U78">
        <v>7</v>
      </c>
      <c r="V78">
        <v>7</v>
      </c>
      <c r="W78" t="s">
        <v>41</v>
      </c>
      <c r="X78" t="s">
        <v>41</v>
      </c>
      <c r="Y78" t="s">
        <v>41</v>
      </c>
      <c r="Z78" t="s">
        <v>41</v>
      </c>
      <c r="AA78">
        <v>6</v>
      </c>
      <c r="AB78">
        <v>6</v>
      </c>
      <c r="AC78" t="s">
        <v>41</v>
      </c>
      <c r="AD78" t="s">
        <v>41</v>
      </c>
      <c r="AE78" t="s">
        <v>41</v>
      </c>
      <c r="AF78" t="s">
        <v>41</v>
      </c>
      <c r="AG78" t="s">
        <v>41</v>
      </c>
      <c r="AH78" t="s">
        <v>41</v>
      </c>
      <c r="AI78" t="s">
        <v>41</v>
      </c>
      <c r="AJ78" t="s">
        <v>41</v>
      </c>
      <c r="AK78">
        <v>5</v>
      </c>
      <c r="AL78">
        <v>5</v>
      </c>
      <c r="AM78" t="s">
        <v>41</v>
      </c>
      <c r="AN78" t="s">
        <v>41</v>
      </c>
      <c r="AO78" t="s">
        <v>41</v>
      </c>
      <c r="AP78" s="281" t="s">
        <v>41</v>
      </c>
      <c r="AQ78" t="s">
        <v>41</v>
      </c>
      <c r="AR78" t="s">
        <v>41</v>
      </c>
      <c r="AS78" s="281" t="s">
        <v>14</v>
      </c>
      <c r="AT78">
        <v>7</v>
      </c>
      <c r="AU78" s="11">
        <v>0.5</v>
      </c>
      <c r="AV78" s="85" t="s">
        <v>41</v>
      </c>
      <c r="AW78" s="280">
        <v>0</v>
      </c>
      <c r="AX78" s="6">
        <f t="shared" si="28"/>
        <v>4.583333333333333</v>
      </c>
      <c r="AY78" s="9" t="str">
        <f t="shared" si="29"/>
        <v>Bench</v>
      </c>
      <c r="AZ78" s="9">
        <f t="shared" si="30"/>
        <v>5.25</v>
      </c>
      <c r="BA78" s="9" t="str">
        <f t="shared" si="31"/>
        <v>Reg</v>
      </c>
      <c r="BB78" s="9">
        <f t="shared" si="32"/>
        <v>5.25</v>
      </c>
      <c r="BC78" s="9" t="str">
        <f t="shared" si="33"/>
        <v>Reg</v>
      </c>
      <c r="BD78" s="84">
        <f t="shared" si="34"/>
        <v>3</v>
      </c>
      <c r="BE78" s="83">
        <f t="shared" si="35"/>
        <v>2</v>
      </c>
      <c r="BF78" t="str">
        <f t="shared" si="36"/>
        <v/>
      </c>
      <c r="BG78" s="91">
        <f>IF(O78="-","-",VLOOKUP($E78,CTPit!$E$10:$AW$75,BG$9,FALSE)-O78)</f>
        <v>0</v>
      </c>
      <c r="BH78" s="91">
        <f>IF(P78="-","-",VLOOKUP($E78,CTPit!$E$10:$AW$75,BH$9,FALSE)-P78)</f>
        <v>0</v>
      </c>
      <c r="BI78" s="91">
        <f>IF(Q78="-","-",VLOOKUP($E78,CTPit!$E$10:$AW$75,BI$9,FALSE)-Q78)</f>
        <v>0</v>
      </c>
      <c r="BJ78" s="91">
        <f>IF(R78="-","-",VLOOKUP($E78,CTPit!$E$10:$AW$75,BJ$9,FALSE)-R78)</f>
        <v>-1</v>
      </c>
      <c r="BK78" s="91">
        <f>IF(S78="-","-",VLOOKUP($E78,CTPit!$E$10:$AW$75,BK$9,FALSE)-S78)</f>
        <v>0</v>
      </c>
      <c r="BL78" s="91">
        <f>IF(T78="-","-",VLOOKUP($E78,CTPit!$E$10:$AW$75,BL$9,FALSE)-T78)</f>
        <v>0</v>
      </c>
      <c r="BM78" s="91">
        <f>IF(U78="-","-",VLOOKUP($E78,CTPit!$E$10:$AW$75,BM$9,FALSE)-U78)</f>
        <v>0</v>
      </c>
      <c r="BN78" s="91">
        <f>IF(V78="-","-",VLOOKUP($E78,CTPit!$E$10:$AW$75,BN$9,FALSE)-V78)</f>
        <v>0</v>
      </c>
      <c r="BO78" s="91" t="str">
        <f>IF(W78="-","-",VLOOKUP($E78,CTPit!$E$10:$AW$75,BO$9,FALSE)-W78)</f>
        <v>-</v>
      </c>
      <c r="BP78" s="91" t="str">
        <f>IF(X78="-","-",VLOOKUP($E78,CTPit!$E$10:$AW$75,BP$9,FALSE)-X78)</f>
        <v>-</v>
      </c>
      <c r="BQ78" s="91" t="str">
        <f>IF(Y78="-","-",VLOOKUP($E78,CTPit!$E$10:$AW$75,BQ$9,FALSE)-Y78)</f>
        <v>-</v>
      </c>
      <c r="BR78" s="91" t="str">
        <f>IF(Z78="-","-",VLOOKUP($E78,CTPit!$E$10:$AW$75,BR$9,FALSE)-Z78)</f>
        <v>-</v>
      </c>
      <c r="BS78" s="91">
        <f>IF(AA78="-","-",VLOOKUP($E78,CTPit!$E$10:$AW$75,BS$9,FALSE)-AA78)</f>
        <v>0</v>
      </c>
      <c r="BT78" s="91">
        <f>IF(AB78="-","-",VLOOKUP($E78,CTPit!$E$10:$AW$75,BT$9,FALSE)-AB78)</f>
        <v>0</v>
      </c>
      <c r="BU78" s="91" t="str">
        <f>IF(AC78="-","-",VLOOKUP($E78,CTPit!$E$10:$AW$75,BU$9,FALSE)-AC78)</f>
        <v>-</v>
      </c>
      <c r="BV78" s="91" t="str">
        <f>IF(AD78="-","-",VLOOKUP($E78,CTPit!$E$10:$AW$75,BV$9,FALSE)-AD78)</f>
        <v>-</v>
      </c>
      <c r="BW78" s="91" t="str">
        <f>IF(AE78="-","-",VLOOKUP($E78,CTPit!$E$10:$AW$75,BW$9,FALSE)-AE78)</f>
        <v>-</v>
      </c>
      <c r="BX78" s="91" t="str">
        <f>IF(AF78="-","-",VLOOKUP($E78,CTPit!$E$10:$AW$75,BX$9,FALSE)-AF78)</f>
        <v>-</v>
      </c>
      <c r="BY78" s="91" t="str">
        <f>IF(AG78="-","-",VLOOKUP($E78,CTPit!$E$10:$AW$75,BY$9,FALSE)-AG78)</f>
        <v>-</v>
      </c>
      <c r="BZ78" s="91" t="str">
        <f>IF(AH78="-","-",VLOOKUP($E78,CTPit!$E$10:$AW$75,BZ$9,FALSE)-AH78)</f>
        <v>-</v>
      </c>
      <c r="CA78" s="91" t="str">
        <f>IF(AI78="-","-",VLOOKUP($E78,CTPit!$E$10:$AW$75,CA$9,FALSE)-AI78)</f>
        <v>-</v>
      </c>
      <c r="CB78" s="91" t="str">
        <f>IF(AJ78="-","-",VLOOKUP($E78,CTPit!$E$10:$AW$75,CB$9,FALSE)-AJ78)</f>
        <v>-</v>
      </c>
      <c r="CC78" s="91">
        <f>IF(AK78="-","-",VLOOKUP($E78,CTPit!$E$10:$AW$75,CC$9,FALSE)-AK78)</f>
        <v>0</v>
      </c>
      <c r="CD78" s="91">
        <f>IF(AL78="-","-",VLOOKUP($E78,CTPit!$E$10:$AW$75,CD$9,FALSE)-AL78)</f>
        <v>0</v>
      </c>
      <c r="CE78" s="91" t="str">
        <f>IF(AM78="-","-",VLOOKUP($E78,CTPit!$E$10:$AW$75,CE$9,FALSE)-AM78)</f>
        <v>-</v>
      </c>
      <c r="CF78" s="91" t="str">
        <f>IF(AN78="-","-",VLOOKUP($E78,CTPit!$E$10:$AW$75,CF$9,FALSE)-AN78)</f>
        <v>-</v>
      </c>
      <c r="CG78" s="91" t="str">
        <f>IF(AO78="-","-",VLOOKUP($E78,CTPit!$E$10:$AW$75,CG$9,FALSE)-AO78)</f>
        <v>-</v>
      </c>
      <c r="CH78" s="91" t="str">
        <f>IF(AP78="-","-",VLOOKUP($E78,CTPit!$E$10:$AW$75,CH$9,FALSE)-AP78)</f>
        <v>-</v>
      </c>
      <c r="CI78" s="91" t="str">
        <f>IF(AQ78="-","-",VLOOKUP($E78,CTPit!$E$10:$AW$75,CI$9,FALSE)-AQ78)</f>
        <v>-</v>
      </c>
      <c r="CJ78" s="91" t="str">
        <f>IF(AR78="-","-",VLOOKUP($E78,CTPit!$E$10:$AW$75,CJ$9,FALSE)-AR78)</f>
        <v>-</v>
      </c>
      <c r="CK78">
        <f t="shared" si="37"/>
        <v>-1</v>
      </c>
    </row>
    <row r="79" spans="3:89">
      <c r="C79" t="str">
        <f t="shared" si="27"/>
        <v>K</v>
      </c>
      <c r="D79" t="s">
        <v>110</v>
      </c>
      <c r="E79" t="s">
        <v>350</v>
      </c>
      <c r="F79" t="s">
        <v>385</v>
      </c>
      <c r="G79" t="s">
        <v>214</v>
      </c>
      <c r="H79" s="281">
        <v>25</v>
      </c>
      <c r="I79" t="s">
        <v>107</v>
      </c>
      <c r="J79" t="s">
        <v>107</v>
      </c>
      <c r="K79" t="s">
        <v>47</v>
      </c>
      <c r="L79" s="281" t="s">
        <v>47</v>
      </c>
      <c r="M79" t="s">
        <v>230</v>
      </c>
      <c r="N79" t="s">
        <v>229</v>
      </c>
      <c r="O79" s="281">
        <v>4</v>
      </c>
      <c r="P79">
        <v>6</v>
      </c>
      <c r="Q79">
        <v>2</v>
      </c>
      <c r="R79" s="281">
        <v>4</v>
      </c>
      <c r="S79">
        <v>6</v>
      </c>
      <c r="T79">
        <v>4</v>
      </c>
      <c r="U79">
        <v>4</v>
      </c>
      <c r="V79">
        <v>4</v>
      </c>
      <c r="W79">
        <v>4</v>
      </c>
      <c r="X79">
        <v>4</v>
      </c>
      <c r="Y79">
        <v>2</v>
      </c>
      <c r="Z79">
        <v>2</v>
      </c>
      <c r="AA79" t="s">
        <v>41</v>
      </c>
      <c r="AB79" t="s">
        <v>41</v>
      </c>
      <c r="AC79" t="s">
        <v>41</v>
      </c>
      <c r="AD79" t="s">
        <v>41</v>
      </c>
      <c r="AE79" t="s">
        <v>41</v>
      </c>
      <c r="AF79" t="s">
        <v>41</v>
      </c>
      <c r="AG79" t="s">
        <v>41</v>
      </c>
      <c r="AH79" t="s">
        <v>41</v>
      </c>
      <c r="AI79" t="s">
        <v>41</v>
      </c>
      <c r="AJ79" t="s">
        <v>41</v>
      </c>
      <c r="AK79" t="s">
        <v>41</v>
      </c>
      <c r="AL79" t="s">
        <v>41</v>
      </c>
      <c r="AM79" t="s">
        <v>41</v>
      </c>
      <c r="AN79" t="s">
        <v>41</v>
      </c>
      <c r="AO79" t="s">
        <v>41</v>
      </c>
      <c r="AP79" s="281" t="s">
        <v>41</v>
      </c>
      <c r="AQ79" t="s">
        <v>41</v>
      </c>
      <c r="AR79" t="s">
        <v>41</v>
      </c>
      <c r="AS79" s="281" t="s">
        <v>2</v>
      </c>
      <c r="AT79">
        <v>6</v>
      </c>
      <c r="AU79" s="11">
        <v>0.52</v>
      </c>
      <c r="AV79" s="85" t="s">
        <v>41</v>
      </c>
      <c r="AW79" s="280">
        <v>0</v>
      </c>
      <c r="AX79" s="6">
        <f t="shared" si="28"/>
        <v>4</v>
      </c>
      <c r="AY79" s="9" t="str">
        <f t="shared" si="29"/>
        <v>Minors</v>
      </c>
      <c r="AZ79" s="9">
        <f t="shared" si="30"/>
        <v>4.666666666666667</v>
      </c>
      <c r="BA79" s="9" t="str">
        <f t="shared" si="31"/>
        <v>Bench</v>
      </c>
      <c r="BB79" s="9">
        <f t="shared" si="32"/>
        <v>4.666666666666667</v>
      </c>
      <c r="BC79" s="9" t="str">
        <f t="shared" si="33"/>
        <v>Bench</v>
      </c>
      <c r="BD79" s="84">
        <f t="shared" si="34"/>
        <v>3</v>
      </c>
      <c r="BE79" s="83">
        <f t="shared" si="35"/>
        <v>0</v>
      </c>
      <c r="BF79" t="str">
        <f t="shared" si="36"/>
        <v/>
      </c>
      <c r="BG79" s="91" t="e">
        <f>IF(O79="-","-",VLOOKUP($E79,CTPit!$E$10:$AW$75,BG$9,FALSE)-O79)</f>
        <v>#N/A</v>
      </c>
      <c r="BH79" s="91" t="e">
        <f>IF(P79="-","-",VLOOKUP($E79,CTPit!$E$10:$AW$75,BH$9,FALSE)-P79)</f>
        <v>#N/A</v>
      </c>
      <c r="BI79" s="91" t="e">
        <f>IF(Q79="-","-",VLOOKUP($E79,CTPit!$E$10:$AW$75,BI$9,FALSE)-Q79)</f>
        <v>#N/A</v>
      </c>
      <c r="BJ79" s="91" t="e">
        <f>IF(R79="-","-",VLOOKUP($E79,CTPit!$E$10:$AW$75,BJ$9,FALSE)-R79)</f>
        <v>#N/A</v>
      </c>
      <c r="BK79" s="91" t="e">
        <f>IF(S79="-","-",VLOOKUP($E79,CTPit!$E$10:$AW$75,BK$9,FALSE)-S79)</f>
        <v>#N/A</v>
      </c>
      <c r="BL79" s="91" t="e">
        <f>IF(T79="-","-",VLOOKUP($E79,CTPit!$E$10:$AW$75,BL$9,FALSE)-T79)</f>
        <v>#N/A</v>
      </c>
      <c r="BM79" s="91" t="e">
        <f>IF(U79="-","-",VLOOKUP($E79,CTPit!$E$10:$AW$75,BM$9,FALSE)-U79)</f>
        <v>#N/A</v>
      </c>
      <c r="BN79" s="91" t="e">
        <f>IF(V79="-","-",VLOOKUP($E79,CTPit!$E$10:$AW$75,BN$9,FALSE)-V79)</f>
        <v>#N/A</v>
      </c>
      <c r="BO79" s="91" t="e">
        <f>IF(W79="-","-",VLOOKUP($E79,CTPit!$E$10:$AW$75,BO$9,FALSE)-W79)</f>
        <v>#N/A</v>
      </c>
      <c r="BP79" s="91" t="e">
        <f>IF(X79="-","-",VLOOKUP($E79,CTPit!$E$10:$AW$75,BP$9,FALSE)-X79)</f>
        <v>#N/A</v>
      </c>
      <c r="BQ79" s="91" t="e">
        <f>IF(Y79="-","-",VLOOKUP($E79,CTPit!$E$10:$AW$75,BQ$9,FALSE)-Y79)</f>
        <v>#N/A</v>
      </c>
      <c r="BR79" s="91" t="e">
        <f>IF(Z79="-","-",VLOOKUP($E79,CTPit!$E$10:$AW$75,BR$9,FALSE)-Z79)</f>
        <v>#N/A</v>
      </c>
      <c r="BS79" s="91" t="str">
        <f>IF(AA79="-","-",VLOOKUP($E79,CTPit!$E$10:$AW$75,BS$9,FALSE)-AA79)</f>
        <v>-</v>
      </c>
      <c r="BT79" s="91" t="str">
        <f>IF(AB79="-","-",VLOOKUP($E79,CTPit!$E$10:$AW$75,BT$9,FALSE)-AB79)</f>
        <v>-</v>
      </c>
      <c r="BU79" s="91" t="str">
        <f>IF(AC79="-","-",VLOOKUP($E79,CTPit!$E$10:$AW$75,BU$9,FALSE)-AC79)</f>
        <v>-</v>
      </c>
      <c r="BV79" s="91" t="str">
        <f>IF(AD79="-","-",VLOOKUP($E79,CTPit!$E$10:$AW$75,BV$9,FALSE)-AD79)</f>
        <v>-</v>
      </c>
      <c r="BW79" s="91" t="str">
        <f>IF(AE79="-","-",VLOOKUP($E79,CTPit!$E$10:$AW$75,BW$9,FALSE)-AE79)</f>
        <v>-</v>
      </c>
      <c r="BX79" s="91" t="str">
        <f>IF(AF79="-","-",VLOOKUP($E79,CTPit!$E$10:$AW$75,BX$9,FALSE)-AF79)</f>
        <v>-</v>
      </c>
      <c r="BY79" s="91" t="str">
        <f>IF(AG79="-","-",VLOOKUP($E79,CTPit!$E$10:$AW$75,BY$9,FALSE)-AG79)</f>
        <v>-</v>
      </c>
      <c r="BZ79" s="91" t="str">
        <f>IF(AH79="-","-",VLOOKUP($E79,CTPit!$E$10:$AW$75,BZ$9,FALSE)-AH79)</f>
        <v>-</v>
      </c>
      <c r="CA79" s="91" t="str">
        <f>IF(AI79="-","-",VLOOKUP($E79,CTPit!$E$10:$AW$75,CA$9,FALSE)-AI79)</f>
        <v>-</v>
      </c>
      <c r="CB79" s="91" t="str">
        <f>IF(AJ79="-","-",VLOOKUP($E79,CTPit!$E$10:$AW$75,CB$9,FALSE)-AJ79)</f>
        <v>-</v>
      </c>
      <c r="CC79" s="91" t="str">
        <f>IF(AK79="-","-",VLOOKUP($E79,CTPit!$E$10:$AW$75,CC$9,FALSE)-AK79)</f>
        <v>-</v>
      </c>
      <c r="CD79" s="91" t="str">
        <f>IF(AL79="-","-",VLOOKUP($E79,CTPit!$E$10:$AW$75,CD$9,FALSE)-AL79)</f>
        <v>-</v>
      </c>
      <c r="CE79" s="91" t="str">
        <f>IF(AM79="-","-",VLOOKUP($E79,CTPit!$E$10:$AW$75,CE$9,FALSE)-AM79)</f>
        <v>-</v>
      </c>
      <c r="CF79" s="91" t="str">
        <f>IF(AN79="-","-",VLOOKUP($E79,CTPit!$E$10:$AW$75,CF$9,FALSE)-AN79)</f>
        <v>-</v>
      </c>
      <c r="CG79" s="91" t="str">
        <f>IF(AO79="-","-",VLOOKUP($E79,CTPit!$E$10:$AW$75,CG$9,FALSE)-AO79)</f>
        <v>-</v>
      </c>
      <c r="CH79" s="91" t="str">
        <f>IF(AP79="-","-",VLOOKUP($E79,CTPit!$E$10:$AW$75,CH$9,FALSE)-AP79)</f>
        <v>-</v>
      </c>
      <c r="CI79" s="91" t="str">
        <f>IF(AQ79="-","-",VLOOKUP($E79,CTPit!$E$10:$AW$75,CI$9,FALSE)-AQ79)</f>
        <v>-</v>
      </c>
      <c r="CJ79" s="91" t="str">
        <f>IF(AR79="-","-",VLOOKUP($E79,CTPit!$E$10:$AW$75,CJ$9,FALSE)-AR79)</f>
        <v>-</v>
      </c>
      <c r="CK79" t="e">
        <f t="shared" si="37"/>
        <v>#N/A</v>
      </c>
    </row>
    <row r="80" spans="3:89">
      <c r="C80" t="str">
        <f t="shared" si="27"/>
        <v>K</v>
      </c>
      <c r="D80" t="s">
        <v>111</v>
      </c>
      <c r="E80" t="s">
        <v>408</v>
      </c>
      <c r="F80" t="s">
        <v>386</v>
      </c>
      <c r="G80" t="s">
        <v>215</v>
      </c>
      <c r="H80" s="281">
        <v>24</v>
      </c>
      <c r="I80" t="s">
        <v>107</v>
      </c>
      <c r="J80" t="s">
        <v>106</v>
      </c>
      <c r="K80" t="s">
        <v>47</v>
      </c>
      <c r="L80" s="281" t="s">
        <v>47</v>
      </c>
      <c r="M80" t="s">
        <v>228</v>
      </c>
      <c r="N80" t="s">
        <v>230</v>
      </c>
      <c r="O80" s="281">
        <v>4</v>
      </c>
      <c r="P80">
        <v>5</v>
      </c>
      <c r="Q80">
        <v>2</v>
      </c>
      <c r="R80" s="281">
        <v>4</v>
      </c>
      <c r="S80">
        <v>5</v>
      </c>
      <c r="T80">
        <v>3</v>
      </c>
      <c r="U80">
        <v>5</v>
      </c>
      <c r="V80">
        <v>5</v>
      </c>
      <c r="W80">
        <v>3</v>
      </c>
      <c r="X80">
        <v>4</v>
      </c>
      <c r="Y80">
        <v>4</v>
      </c>
      <c r="Z80">
        <v>4</v>
      </c>
      <c r="AA80">
        <v>3</v>
      </c>
      <c r="AB80">
        <v>3</v>
      </c>
      <c r="AC80" t="s">
        <v>41</v>
      </c>
      <c r="AD80" t="s">
        <v>41</v>
      </c>
      <c r="AE80" t="s">
        <v>41</v>
      </c>
      <c r="AF80" t="s">
        <v>41</v>
      </c>
      <c r="AG80" t="s">
        <v>41</v>
      </c>
      <c r="AH80" t="s">
        <v>41</v>
      </c>
      <c r="AI80" t="s">
        <v>41</v>
      </c>
      <c r="AJ80" t="s">
        <v>41</v>
      </c>
      <c r="AK80" t="s">
        <v>41</v>
      </c>
      <c r="AL80" t="s">
        <v>41</v>
      </c>
      <c r="AM80" t="s">
        <v>41</v>
      </c>
      <c r="AN80" t="s">
        <v>41</v>
      </c>
      <c r="AO80" t="s">
        <v>41</v>
      </c>
      <c r="AP80" s="281" t="s">
        <v>41</v>
      </c>
      <c r="AQ80" t="s">
        <v>41</v>
      </c>
      <c r="AR80" t="s">
        <v>41</v>
      </c>
      <c r="AS80" s="281" t="s">
        <v>3</v>
      </c>
      <c r="AT80">
        <v>7</v>
      </c>
      <c r="AU80" s="11">
        <v>0.49</v>
      </c>
      <c r="AV80" s="85" t="s">
        <v>41</v>
      </c>
      <c r="AW80" s="280">
        <v>0</v>
      </c>
      <c r="AX80" s="6">
        <f t="shared" si="28"/>
        <v>3.9166666666666665</v>
      </c>
      <c r="AY80" s="9" t="str">
        <f t="shared" si="29"/>
        <v>Minors</v>
      </c>
      <c r="AZ80" s="9">
        <f t="shared" si="30"/>
        <v>4.25</v>
      </c>
      <c r="BA80" s="9" t="str">
        <f t="shared" si="31"/>
        <v>Bench</v>
      </c>
      <c r="BB80" s="9">
        <f t="shared" si="32"/>
        <v>4.25</v>
      </c>
      <c r="BC80" s="9" t="str">
        <f t="shared" si="33"/>
        <v>Bench</v>
      </c>
      <c r="BD80" s="84">
        <f t="shared" si="34"/>
        <v>4</v>
      </c>
      <c r="BE80" s="83">
        <f t="shared" si="35"/>
        <v>0</v>
      </c>
      <c r="BF80" t="str">
        <f t="shared" si="36"/>
        <v/>
      </c>
      <c r="BG80" s="91">
        <f>IF(O80="-","-",VLOOKUP($E80,CTPit!$E$10:$AW$75,BG$9,FALSE)-O80)</f>
        <v>0</v>
      </c>
      <c r="BH80" s="91">
        <f>IF(P80="-","-",VLOOKUP($E80,CTPit!$E$10:$AW$75,BH$9,FALSE)-P80)</f>
        <v>0</v>
      </c>
      <c r="BI80" s="91">
        <f>IF(Q80="-","-",VLOOKUP($E80,CTPit!$E$10:$AW$75,BI$9,FALSE)-Q80)</f>
        <v>0</v>
      </c>
      <c r="BJ80" s="91">
        <f>IF(R80="-","-",VLOOKUP($E80,CTPit!$E$10:$AW$75,BJ$9,FALSE)-R80)</f>
        <v>0</v>
      </c>
      <c r="BK80" s="91">
        <f>IF(S80="-","-",VLOOKUP($E80,CTPit!$E$10:$AW$75,BK$9,FALSE)-S80)</f>
        <v>0</v>
      </c>
      <c r="BL80" s="91">
        <f>IF(T80="-","-",VLOOKUP($E80,CTPit!$E$10:$AW$75,BL$9,FALSE)-T80)</f>
        <v>-1</v>
      </c>
      <c r="BM80" s="91">
        <f>IF(U80="-","-",VLOOKUP($E80,CTPit!$E$10:$AW$75,BM$9,FALSE)-U80)</f>
        <v>0</v>
      </c>
      <c r="BN80" s="91">
        <f>IF(V80="-","-",VLOOKUP($E80,CTPit!$E$10:$AW$75,BN$9,FALSE)-V80)</f>
        <v>0</v>
      </c>
      <c r="BO80" s="91">
        <f>IF(W80="-","-",VLOOKUP($E80,CTPit!$E$10:$AW$75,BO$9,FALSE)-W80)</f>
        <v>0</v>
      </c>
      <c r="BP80" s="91">
        <f>IF(X80="-","-",VLOOKUP($E80,CTPit!$E$10:$AW$75,BP$9,FALSE)-X80)</f>
        <v>0</v>
      </c>
      <c r="BQ80" s="91">
        <f>IF(Y80="-","-",VLOOKUP($E80,CTPit!$E$10:$AW$75,BQ$9,FALSE)-Y80)</f>
        <v>0</v>
      </c>
      <c r="BR80" s="91">
        <f>IF(Z80="-","-",VLOOKUP($E80,CTPit!$E$10:$AW$75,BR$9,FALSE)-Z80)</f>
        <v>0</v>
      </c>
      <c r="BS80" s="91">
        <f>IF(AA80="-","-",VLOOKUP($E80,CTPit!$E$10:$AW$75,BS$9,FALSE)-AA80)</f>
        <v>0</v>
      </c>
      <c r="BT80" s="91">
        <f>IF(AB80="-","-",VLOOKUP($E80,CTPit!$E$10:$AW$75,BT$9,FALSE)-AB80)</f>
        <v>0</v>
      </c>
      <c r="BU80" s="91" t="str">
        <f>IF(AC80="-","-",VLOOKUP($E80,CTPit!$E$10:$AW$75,BU$9,FALSE)-AC80)</f>
        <v>-</v>
      </c>
      <c r="BV80" s="91" t="str">
        <f>IF(AD80="-","-",VLOOKUP($E80,CTPit!$E$10:$AW$75,BV$9,FALSE)-AD80)</f>
        <v>-</v>
      </c>
      <c r="BW80" s="91" t="str">
        <f>IF(AE80="-","-",VLOOKUP($E80,CTPit!$E$10:$AW$75,BW$9,FALSE)-AE80)</f>
        <v>-</v>
      </c>
      <c r="BX80" s="91" t="str">
        <f>IF(AF80="-","-",VLOOKUP($E80,CTPit!$E$10:$AW$75,BX$9,FALSE)-AF80)</f>
        <v>-</v>
      </c>
      <c r="BY80" s="91" t="str">
        <f>IF(AG80="-","-",VLOOKUP($E80,CTPit!$E$10:$AW$75,BY$9,FALSE)-AG80)</f>
        <v>-</v>
      </c>
      <c r="BZ80" s="91" t="str">
        <f>IF(AH80="-","-",VLOOKUP($E80,CTPit!$E$10:$AW$75,BZ$9,FALSE)-AH80)</f>
        <v>-</v>
      </c>
      <c r="CA80" s="91" t="str">
        <f>IF(AI80="-","-",VLOOKUP($E80,CTPit!$E$10:$AW$75,CA$9,FALSE)-AI80)</f>
        <v>-</v>
      </c>
      <c r="CB80" s="91" t="str">
        <f>IF(AJ80="-","-",VLOOKUP($E80,CTPit!$E$10:$AW$75,CB$9,FALSE)-AJ80)</f>
        <v>-</v>
      </c>
      <c r="CC80" s="91" t="str">
        <f>IF(AK80="-","-",VLOOKUP($E80,CTPit!$E$10:$AW$75,CC$9,FALSE)-AK80)</f>
        <v>-</v>
      </c>
      <c r="CD80" s="91" t="str">
        <f>IF(AL80="-","-",VLOOKUP($E80,CTPit!$E$10:$AW$75,CD$9,FALSE)-AL80)</f>
        <v>-</v>
      </c>
      <c r="CE80" s="91" t="str">
        <f>IF(AM80="-","-",VLOOKUP($E80,CTPit!$E$10:$AW$75,CE$9,FALSE)-AM80)</f>
        <v>-</v>
      </c>
      <c r="CF80" s="91" t="str">
        <f>IF(AN80="-","-",VLOOKUP($E80,CTPit!$E$10:$AW$75,CF$9,FALSE)-AN80)</f>
        <v>-</v>
      </c>
      <c r="CG80" s="91" t="str">
        <f>IF(AO80="-","-",VLOOKUP($E80,CTPit!$E$10:$AW$75,CG$9,FALSE)-AO80)</f>
        <v>-</v>
      </c>
      <c r="CH80" s="91" t="str">
        <f>IF(AP80="-","-",VLOOKUP($E80,CTPit!$E$10:$AW$75,CH$9,FALSE)-AP80)</f>
        <v>-</v>
      </c>
      <c r="CI80" s="91" t="str">
        <f>IF(AQ80="-","-",VLOOKUP($E80,CTPit!$E$10:$AW$75,CI$9,FALSE)-AQ80)</f>
        <v>-</v>
      </c>
      <c r="CJ80" s="91" t="str">
        <f>IF(AR80="-","-",VLOOKUP($E80,CTPit!$E$10:$AW$75,CJ$9,FALSE)-AR80)</f>
        <v>-</v>
      </c>
      <c r="CK80">
        <f t="shared" si="37"/>
        <v>-1</v>
      </c>
    </row>
    <row r="81" spans="3:89">
      <c r="C81" t="str">
        <f t="shared" si="27"/>
        <v>K</v>
      </c>
      <c r="D81" t="s">
        <v>110</v>
      </c>
      <c r="E81" t="s">
        <v>554</v>
      </c>
      <c r="F81" t="s">
        <v>386</v>
      </c>
      <c r="G81" t="s">
        <v>215</v>
      </c>
      <c r="H81" s="281">
        <v>24</v>
      </c>
      <c r="I81" t="s">
        <v>107</v>
      </c>
      <c r="J81" t="s">
        <v>107</v>
      </c>
      <c r="K81" t="s">
        <v>42</v>
      </c>
      <c r="L81" s="281" t="s">
        <v>42</v>
      </c>
      <c r="M81" t="s">
        <v>231</v>
      </c>
      <c r="N81" t="s">
        <v>228</v>
      </c>
      <c r="O81" s="281">
        <v>4</v>
      </c>
      <c r="P81">
        <v>5</v>
      </c>
      <c r="Q81">
        <v>7</v>
      </c>
      <c r="R81" s="281">
        <v>4</v>
      </c>
      <c r="S81">
        <v>5</v>
      </c>
      <c r="T81">
        <v>7</v>
      </c>
      <c r="U81">
        <v>4</v>
      </c>
      <c r="V81">
        <v>4</v>
      </c>
      <c r="W81">
        <v>2</v>
      </c>
      <c r="X81">
        <v>2</v>
      </c>
      <c r="Y81">
        <v>3</v>
      </c>
      <c r="Z81">
        <v>3</v>
      </c>
      <c r="AA81" t="s">
        <v>41</v>
      </c>
      <c r="AB81" t="s">
        <v>41</v>
      </c>
      <c r="AC81" t="s">
        <v>41</v>
      </c>
      <c r="AD81" t="s">
        <v>41</v>
      </c>
      <c r="AE81">
        <v>4</v>
      </c>
      <c r="AF81">
        <v>4</v>
      </c>
      <c r="AG81" t="s">
        <v>41</v>
      </c>
      <c r="AH81" t="s">
        <v>41</v>
      </c>
      <c r="AI81" t="s">
        <v>41</v>
      </c>
      <c r="AJ81" t="s">
        <v>41</v>
      </c>
      <c r="AK81" t="s">
        <v>41</v>
      </c>
      <c r="AL81" t="s">
        <v>41</v>
      </c>
      <c r="AM81" t="s">
        <v>41</v>
      </c>
      <c r="AN81" t="s">
        <v>41</v>
      </c>
      <c r="AO81" t="s">
        <v>41</v>
      </c>
      <c r="AP81" s="281" t="s">
        <v>41</v>
      </c>
      <c r="AQ81" t="s">
        <v>41</v>
      </c>
      <c r="AR81" t="s">
        <v>41</v>
      </c>
      <c r="AS81" s="281" t="s">
        <v>6</v>
      </c>
      <c r="AT81">
        <v>6</v>
      </c>
      <c r="AU81" s="11">
        <v>0.49</v>
      </c>
      <c r="AV81" s="85" t="s">
        <v>41</v>
      </c>
      <c r="AW81" s="280" t="s">
        <v>45</v>
      </c>
      <c r="AX81" s="6">
        <f t="shared" si="28"/>
        <v>5.583333333333333</v>
      </c>
      <c r="AY81" s="9" t="str">
        <f t="shared" si="29"/>
        <v>Reg</v>
      </c>
      <c r="AZ81" s="9">
        <f t="shared" si="30"/>
        <v>5.583333333333333</v>
      </c>
      <c r="BA81" s="9" t="str">
        <f t="shared" si="31"/>
        <v>Reg</v>
      </c>
      <c r="BB81" s="9">
        <f t="shared" si="32"/>
        <v>5.583333333333333</v>
      </c>
      <c r="BC81" s="9" t="str">
        <f t="shared" si="33"/>
        <v>Reg</v>
      </c>
      <c r="BD81" s="84">
        <f t="shared" si="34"/>
        <v>4</v>
      </c>
      <c r="BE81" s="83">
        <f t="shared" si="35"/>
        <v>0</v>
      </c>
      <c r="BF81" t="str">
        <f t="shared" si="36"/>
        <v/>
      </c>
      <c r="BG81" s="91">
        <f>IF(O81="-","-",VLOOKUP($E81,CTPit!$E$10:$AW$75,BG$9,FALSE)-O81)</f>
        <v>-1</v>
      </c>
      <c r="BH81" s="91">
        <f>IF(P81="-","-",VLOOKUP($E81,CTPit!$E$10:$AW$75,BH$9,FALSE)-P81)</f>
        <v>0</v>
      </c>
      <c r="BI81" s="91">
        <f>IF(Q81="-","-",VLOOKUP($E81,CTPit!$E$10:$AW$75,BI$9,FALSE)-Q81)</f>
        <v>0</v>
      </c>
      <c r="BJ81" s="91">
        <f>IF(R81="-","-",VLOOKUP($E81,CTPit!$E$10:$AW$75,BJ$9,FALSE)-R81)</f>
        <v>-1</v>
      </c>
      <c r="BK81" s="91">
        <f>IF(S81="-","-",VLOOKUP($E81,CTPit!$E$10:$AW$75,BK$9,FALSE)-S81)</f>
        <v>0</v>
      </c>
      <c r="BL81" s="91">
        <f>IF(T81="-","-",VLOOKUP($E81,CTPit!$E$10:$AW$75,BL$9,FALSE)-T81)</f>
        <v>0</v>
      </c>
      <c r="BM81" s="91">
        <f>IF(U81="-","-",VLOOKUP($E81,CTPit!$E$10:$AW$75,BM$9,FALSE)-U81)</f>
        <v>0</v>
      </c>
      <c r="BN81" s="91">
        <f>IF(V81="-","-",VLOOKUP($E81,CTPit!$E$10:$AW$75,BN$9,FALSE)-V81)</f>
        <v>0</v>
      </c>
      <c r="BO81" s="91">
        <f>IF(W81="-","-",VLOOKUP($E81,CTPit!$E$10:$AW$75,BO$9,FALSE)-W81)</f>
        <v>0</v>
      </c>
      <c r="BP81" s="91">
        <f>IF(X81="-","-",VLOOKUP($E81,CTPit!$E$10:$AW$75,BP$9,FALSE)-X81)</f>
        <v>0</v>
      </c>
      <c r="BQ81" s="91">
        <f>IF(Y81="-","-",VLOOKUP($E81,CTPit!$E$10:$AW$75,BQ$9,FALSE)-Y81)</f>
        <v>0</v>
      </c>
      <c r="BR81" s="91">
        <f>IF(Z81="-","-",VLOOKUP($E81,CTPit!$E$10:$AW$75,BR$9,FALSE)-Z81)</f>
        <v>0</v>
      </c>
      <c r="BS81" s="91" t="str">
        <f>IF(AA81="-","-",VLOOKUP($E81,CTPit!$E$10:$AW$75,BS$9,FALSE)-AA81)</f>
        <v>-</v>
      </c>
      <c r="BT81" s="91" t="str">
        <f>IF(AB81="-","-",VLOOKUP($E81,CTPit!$E$10:$AW$75,BT$9,FALSE)-AB81)</f>
        <v>-</v>
      </c>
      <c r="BU81" s="91" t="str">
        <f>IF(AC81="-","-",VLOOKUP($E81,CTPit!$E$10:$AW$75,BU$9,FALSE)-AC81)</f>
        <v>-</v>
      </c>
      <c r="BV81" s="91" t="str">
        <f>IF(AD81="-","-",VLOOKUP($E81,CTPit!$E$10:$AW$75,BV$9,FALSE)-AD81)</f>
        <v>-</v>
      </c>
      <c r="BW81" s="91">
        <f>IF(AE81="-","-",VLOOKUP($E81,CTPit!$E$10:$AW$75,BW$9,FALSE)-AE81)</f>
        <v>0</v>
      </c>
      <c r="BX81" s="91">
        <f>IF(AF81="-","-",VLOOKUP($E81,CTPit!$E$10:$AW$75,BX$9,FALSE)-AF81)</f>
        <v>0</v>
      </c>
      <c r="BY81" s="91" t="str">
        <f>IF(AG81="-","-",VLOOKUP($E81,CTPit!$E$10:$AW$75,BY$9,FALSE)-AG81)</f>
        <v>-</v>
      </c>
      <c r="BZ81" s="91" t="str">
        <f>IF(AH81="-","-",VLOOKUP($E81,CTPit!$E$10:$AW$75,BZ$9,FALSE)-AH81)</f>
        <v>-</v>
      </c>
      <c r="CA81" s="91" t="str">
        <f>IF(AI81="-","-",VLOOKUP($E81,CTPit!$E$10:$AW$75,CA$9,FALSE)-AI81)</f>
        <v>-</v>
      </c>
      <c r="CB81" s="91" t="str">
        <f>IF(AJ81="-","-",VLOOKUP($E81,CTPit!$E$10:$AW$75,CB$9,FALSE)-AJ81)</f>
        <v>-</v>
      </c>
      <c r="CC81" s="91" t="str">
        <f>IF(AK81="-","-",VLOOKUP($E81,CTPit!$E$10:$AW$75,CC$9,FALSE)-AK81)</f>
        <v>-</v>
      </c>
      <c r="CD81" s="91" t="str">
        <f>IF(AL81="-","-",VLOOKUP($E81,CTPit!$E$10:$AW$75,CD$9,FALSE)-AL81)</f>
        <v>-</v>
      </c>
      <c r="CE81" s="91" t="str">
        <f>IF(AM81="-","-",VLOOKUP($E81,CTPit!$E$10:$AW$75,CE$9,FALSE)-AM81)</f>
        <v>-</v>
      </c>
      <c r="CF81" s="91" t="str">
        <f>IF(AN81="-","-",VLOOKUP($E81,CTPit!$E$10:$AW$75,CF$9,FALSE)-AN81)</f>
        <v>-</v>
      </c>
      <c r="CG81" s="91" t="str">
        <f>IF(AO81="-","-",VLOOKUP($E81,CTPit!$E$10:$AW$75,CG$9,FALSE)-AO81)</f>
        <v>-</v>
      </c>
      <c r="CH81" s="91" t="str">
        <f>IF(AP81="-","-",VLOOKUP($E81,CTPit!$E$10:$AW$75,CH$9,FALSE)-AP81)</f>
        <v>-</v>
      </c>
      <c r="CI81" s="91" t="str">
        <f>IF(AQ81="-","-",VLOOKUP($E81,CTPit!$E$10:$AW$75,CI$9,FALSE)-AQ81)</f>
        <v>-</v>
      </c>
      <c r="CJ81" s="91" t="str">
        <f>IF(AR81="-","-",VLOOKUP($E81,CTPit!$E$10:$AW$75,CJ$9,FALSE)-AR81)</f>
        <v>-</v>
      </c>
      <c r="CK81">
        <f t="shared" si="37"/>
        <v>-2</v>
      </c>
    </row>
    <row r="82" spans="3:89">
      <c r="C82" t="str">
        <f t="shared" si="27"/>
        <v>K</v>
      </c>
      <c r="D82" t="s">
        <v>110</v>
      </c>
      <c r="E82" t="s">
        <v>575</v>
      </c>
      <c r="F82" t="s">
        <v>384</v>
      </c>
      <c r="G82" t="s">
        <v>213</v>
      </c>
      <c r="H82" s="281">
        <v>30</v>
      </c>
      <c r="I82" t="s">
        <v>106</v>
      </c>
      <c r="J82" t="s">
        <v>106</v>
      </c>
      <c r="K82" t="s">
        <v>47</v>
      </c>
      <c r="L82" s="281" t="s">
        <v>47</v>
      </c>
      <c r="M82" t="s">
        <v>229</v>
      </c>
      <c r="N82" t="s">
        <v>228</v>
      </c>
      <c r="O82" s="281">
        <v>7</v>
      </c>
      <c r="P82">
        <v>4</v>
      </c>
      <c r="Q82">
        <v>3</v>
      </c>
      <c r="R82" s="281">
        <v>7</v>
      </c>
      <c r="S82">
        <v>4</v>
      </c>
      <c r="T82">
        <v>3</v>
      </c>
      <c r="U82">
        <v>6</v>
      </c>
      <c r="V82">
        <v>6</v>
      </c>
      <c r="W82">
        <v>7</v>
      </c>
      <c r="X82">
        <v>7</v>
      </c>
      <c r="Y82" t="s">
        <v>41</v>
      </c>
      <c r="Z82" t="s">
        <v>41</v>
      </c>
      <c r="AA82">
        <v>7</v>
      </c>
      <c r="AB82">
        <v>7</v>
      </c>
      <c r="AC82">
        <v>6</v>
      </c>
      <c r="AD82">
        <v>6</v>
      </c>
      <c r="AE82" t="s">
        <v>41</v>
      </c>
      <c r="AF82" t="s">
        <v>41</v>
      </c>
      <c r="AG82" t="s">
        <v>41</v>
      </c>
      <c r="AH82" t="s">
        <v>41</v>
      </c>
      <c r="AI82" t="s">
        <v>41</v>
      </c>
      <c r="AJ82" t="s">
        <v>41</v>
      </c>
      <c r="AK82" t="s">
        <v>41</v>
      </c>
      <c r="AL82" t="s">
        <v>41</v>
      </c>
      <c r="AM82" t="s">
        <v>41</v>
      </c>
      <c r="AN82" t="s">
        <v>41</v>
      </c>
      <c r="AO82" t="s">
        <v>41</v>
      </c>
      <c r="AP82" s="281" t="s">
        <v>41</v>
      </c>
      <c r="AQ82" t="s">
        <v>41</v>
      </c>
      <c r="AR82" t="s">
        <v>41</v>
      </c>
      <c r="AS82" s="281" t="s">
        <v>2</v>
      </c>
      <c r="AT82">
        <v>6</v>
      </c>
      <c r="AU82" s="11">
        <v>0.36</v>
      </c>
      <c r="AV82" s="85" t="s">
        <v>41</v>
      </c>
      <c r="AW82" s="280">
        <v>0</v>
      </c>
      <c r="AX82" s="6">
        <f t="shared" si="28"/>
        <v>5.166666666666667</v>
      </c>
      <c r="AY82" s="9" t="str">
        <f t="shared" si="29"/>
        <v>Reg</v>
      </c>
      <c r="AZ82" s="9">
        <f t="shared" si="30"/>
        <v>5.166666666666667</v>
      </c>
      <c r="BA82" s="9" t="str">
        <f t="shared" si="31"/>
        <v>Reg</v>
      </c>
      <c r="BB82" s="9">
        <f t="shared" si="32"/>
        <v>5.166666666666667</v>
      </c>
      <c r="BC82" s="9" t="str">
        <f t="shared" si="33"/>
        <v>Reg</v>
      </c>
      <c r="BD82" s="84">
        <f t="shared" si="34"/>
        <v>4</v>
      </c>
      <c r="BE82" s="83">
        <f t="shared" si="35"/>
        <v>4</v>
      </c>
      <c r="BF82" t="str">
        <f t="shared" si="36"/>
        <v/>
      </c>
      <c r="BG82" s="91">
        <f>IF(O82="-","-",VLOOKUP($E82,CTPit!$E$10:$AW$75,BG$9,FALSE)-O82)</f>
        <v>-1</v>
      </c>
      <c r="BH82" s="91">
        <f>IF(P82="-","-",VLOOKUP($E82,CTPit!$E$10:$AW$75,BH$9,FALSE)-P82)</f>
        <v>0</v>
      </c>
      <c r="BI82" s="91">
        <f>IF(Q82="-","-",VLOOKUP($E82,CTPit!$E$10:$AW$75,BI$9,FALSE)-Q82)</f>
        <v>0</v>
      </c>
      <c r="BJ82" s="91">
        <f>IF(R82="-","-",VLOOKUP($E82,CTPit!$E$10:$AW$75,BJ$9,FALSE)-R82)</f>
        <v>-1</v>
      </c>
      <c r="BK82" s="91">
        <f>IF(S82="-","-",VLOOKUP($E82,CTPit!$E$10:$AW$75,BK$9,FALSE)-S82)</f>
        <v>0</v>
      </c>
      <c r="BL82" s="91">
        <f>IF(T82="-","-",VLOOKUP($E82,CTPit!$E$10:$AW$75,BL$9,FALSE)-T82)</f>
        <v>0</v>
      </c>
      <c r="BM82" s="91">
        <f>IF(U82="-","-",VLOOKUP($E82,CTPit!$E$10:$AW$75,BM$9,FALSE)-U82)</f>
        <v>0</v>
      </c>
      <c r="BN82" s="91">
        <f>IF(V82="-","-",VLOOKUP($E82,CTPit!$E$10:$AW$75,BN$9,FALSE)-V82)</f>
        <v>0</v>
      </c>
      <c r="BO82" s="91">
        <f>IF(W82="-","-",VLOOKUP($E82,CTPit!$E$10:$AW$75,BO$9,FALSE)-W82)</f>
        <v>0</v>
      </c>
      <c r="BP82" s="91">
        <f>IF(X82="-","-",VLOOKUP($E82,CTPit!$E$10:$AW$75,BP$9,FALSE)-X82)</f>
        <v>0</v>
      </c>
      <c r="BQ82" s="91" t="str">
        <f>IF(Y82="-","-",VLOOKUP($E82,CTPit!$E$10:$AW$75,BQ$9,FALSE)-Y82)</f>
        <v>-</v>
      </c>
      <c r="BR82" s="91" t="str">
        <f>IF(Z82="-","-",VLOOKUP($E82,CTPit!$E$10:$AW$75,BR$9,FALSE)-Z82)</f>
        <v>-</v>
      </c>
      <c r="BS82" s="91">
        <f>IF(AA82="-","-",VLOOKUP($E82,CTPit!$E$10:$AW$75,BS$9,FALSE)-AA82)</f>
        <v>0</v>
      </c>
      <c r="BT82" s="91">
        <f>IF(AB82="-","-",VLOOKUP($E82,CTPit!$E$10:$AW$75,BT$9,FALSE)-AB82)</f>
        <v>0</v>
      </c>
      <c r="BU82" s="91">
        <f>IF(AC82="-","-",VLOOKUP($E82,CTPit!$E$10:$AW$75,BU$9,FALSE)-AC82)</f>
        <v>0</v>
      </c>
      <c r="BV82" s="91">
        <f>IF(AD82="-","-",VLOOKUP($E82,CTPit!$E$10:$AW$75,BV$9,FALSE)-AD82)</f>
        <v>0</v>
      </c>
      <c r="BW82" s="91" t="str">
        <f>IF(AE82="-","-",VLOOKUP($E82,CTPit!$E$10:$AW$75,BW$9,FALSE)-AE82)</f>
        <v>-</v>
      </c>
      <c r="BX82" s="91" t="str">
        <f>IF(AF82="-","-",VLOOKUP($E82,CTPit!$E$10:$AW$75,BX$9,FALSE)-AF82)</f>
        <v>-</v>
      </c>
      <c r="BY82" s="91" t="str">
        <f>IF(AG82="-","-",VLOOKUP($E82,CTPit!$E$10:$AW$75,BY$9,FALSE)-AG82)</f>
        <v>-</v>
      </c>
      <c r="BZ82" s="91" t="str">
        <f>IF(AH82="-","-",VLOOKUP($E82,CTPit!$E$10:$AW$75,BZ$9,FALSE)-AH82)</f>
        <v>-</v>
      </c>
      <c r="CA82" s="91" t="str">
        <f>IF(AI82="-","-",VLOOKUP($E82,CTPit!$E$10:$AW$75,CA$9,FALSE)-AI82)</f>
        <v>-</v>
      </c>
      <c r="CB82" s="91" t="str">
        <f>IF(AJ82="-","-",VLOOKUP($E82,CTPit!$E$10:$AW$75,CB$9,FALSE)-AJ82)</f>
        <v>-</v>
      </c>
      <c r="CC82" s="91" t="str">
        <f>IF(AK82="-","-",VLOOKUP($E82,CTPit!$E$10:$AW$75,CC$9,FALSE)-AK82)</f>
        <v>-</v>
      </c>
      <c r="CD82" s="91" t="str">
        <f>IF(AL82="-","-",VLOOKUP($E82,CTPit!$E$10:$AW$75,CD$9,FALSE)-AL82)</f>
        <v>-</v>
      </c>
      <c r="CE82" s="91" t="str">
        <f>IF(AM82="-","-",VLOOKUP($E82,CTPit!$E$10:$AW$75,CE$9,FALSE)-AM82)</f>
        <v>-</v>
      </c>
      <c r="CF82" s="91" t="str">
        <f>IF(AN82="-","-",VLOOKUP($E82,CTPit!$E$10:$AW$75,CF$9,FALSE)-AN82)</f>
        <v>-</v>
      </c>
      <c r="CG82" s="91" t="str">
        <f>IF(AO82="-","-",VLOOKUP($E82,CTPit!$E$10:$AW$75,CG$9,FALSE)-AO82)</f>
        <v>-</v>
      </c>
      <c r="CH82" s="91" t="str">
        <f>IF(AP82="-","-",VLOOKUP($E82,CTPit!$E$10:$AW$75,CH$9,FALSE)-AP82)</f>
        <v>-</v>
      </c>
      <c r="CI82" s="91" t="str">
        <f>IF(AQ82="-","-",VLOOKUP($E82,CTPit!$E$10:$AW$75,CI$9,FALSE)-AQ82)</f>
        <v>-</v>
      </c>
      <c r="CJ82" s="91" t="str">
        <f>IF(AR82="-","-",VLOOKUP($E82,CTPit!$E$10:$AW$75,CJ$9,FALSE)-AR82)</f>
        <v>-</v>
      </c>
      <c r="CK82">
        <f t="shared" si="37"/>
        <v>-2</v>
      </c>
    </row>
    <row r="83" spans="3:89">
      <c r="C83" t="str">
        <f t="shared" si="27"/>
        <v>K</v>
      </c>
      <c r="D83" t="s">
        <v>110</v>
      </c>
      <c r="E83" t="s">
        <v>436</v>
      </c>
      <c r="F83" t="s">
        <v>386</v>
      </c>
      <c r="G83" t="s">
        <v>215</v>
      </c>
      <c r="H83" s="281">
        <v>22</v>
      </c>
      <c r="I83" t="s">
        <v>107</v>
      </c>
      <c r="J83" t="s">
        <v>106</v>
      </c>
      <c r="K83" t="s">
        <v>47</v>
      </c>
      <c r="L83" s="281" t="s">
        <v>47</v>
      </c>
      <c r="M83" t="s">
        <v>231</v>
      </c>
      <c r="N83" t="s">
        <v>231</v>
      </c>
      <c r="O83" s="281">
        <v>6</v>
      </c>
      <c r="P83">
        <v>3</v>
      </c>
      <c r="Q83">
        <v>2</v>
      </c>
      <c r="R83" s="281">
        <v>7</v>
      </c>
      <c r="S83">
        <v>3</v>
      </c>
      <c r="T83">
        <v>3</v>
      </c>
      <c r="U83">
        <v>8</v>
      </c>
      <c r="V83">
        <v>8</v>
      </c>
      <c r="W83" t="s">
        <v>41</v>
      </c>
      <c r="X83" t="s">
        <v>41</v>
      </c>
      <c r="Y83" t="s">
        <v>41</v>
      </c>
      <c r="Z83" t="s">
        <v>41</v>
      </c>
      <c r="AA83">
        <v>5</v>
      </c>
      <c r="AB83">
        <v>6</v>
      </c>
      <c r="AC83" t="s">
        <v>41</v>
      </c>
      <c r="AD83" t="s">
        <v>41</v>
      </c>
      <c r="AE83" t="s">
        <v>41</v>
      </c>
      <c r="AF83" t="s">
        <v>41</v>
      </c>
      <c r="AG83" t="s">
        <v>41</v>
      </c>
      <c r="AH83" t="s">
        <v>41</v>
      </c>
      <c r="AI83" t="s">
        <v>41</v>
      </c>
      <c r="AJ83" t="s">
        <v>41</v>
      </c>
      <c r="AK83" t="s">
        <v>41</v>
      </c>
      <c r="AL83" t="s">
        <v>41</v>
      </c>
      <c r="AM83" t="s">
        <v>41</v>
      </c>
      <c r="AN83" t="s">
        <v>41</v>
      </c>
      <c r="AO83" t="s">
        <v>41</v>
      </c>
      <c r="AP83" s="281" t="s">
        <v>41</v>
      </c>
      <c r="AQ83" t="s">
        <v>41</v>
      </c>
      <c r="AR83" t="s">
        <v>41</v>
      </c>
      <c r="AS83" s="281" t="s">
        <v>5</v>
      </c>
      <c r="AT83">
        <v>5</v>
      </c>
      <c r="AU83" s="11">
        <v>0.44</v>
      </c>
      <c r="AV83" s="85" t="s">
        <v>41</v>
      </c>
      <c r="AW83" s="280">
        <v>0</v>
      </c>
      <c r="AX83" s="6">
        <f t="shared" si="28"/>
        <v>3.9166666666666665</v>
      </c>
      <c r="AY83" s="9" t="str">
        <f t="shared" si="29"/>
        <v>Minors</v>
      </c>
      <c r="AZ83" s="9">
        <f t="shared" si="30"/>
        <v>4.583333333333333</v>
      </c>
      <c r="BA83" s="9" t="str">
        <f t="shared" si="31"/>
        <v>Bench</v>
      </c>
      <c r="BB83" s="9">
        <f t="shared" si="32"/>
        <v>4.583333333333333</v>
      </c>
      <c r="BC83" s="9" t="str">
        <f t="shared" si="33"/>
        <v>Bench</v>
      </c>
      <c r="BD83" s="84">
        <f t="shared" si="34"/>
        <v>2</v>
      </c>
      <c r="BE83" s="83">
        <f t="shared" si="35"/>
        <v>1.5</v>
      </c>
      <c r="BF83" t="str">
        <f t="shared" si="36"/>
        <v/>
      </c>
      <c r="BG83" s="91">
        <f>IF(O83="-","-",VLOOKUP($E83,CTPit!$E$10:$AW$75,BG$9,FALSE)-O83)</f>
        <v>0</v>
      </c>
      <c r="BH83" s="91">
        <f>IF(P83="-","-",VLOOKUP($E83,CTPit!$E$10:$AW$75,BH$9,FALSE)-P83)</f>
        <v>0</v>
      </c>
      <c r="BI83" s="91">
        <f>IF(Q83="-","-",VLOOKUP($E83,CTPit!$E$10:$AW$75,BI$9,FALSE)-Q83)</f>
        <v>0</v>
      </c>
      <c r="BJ83" s="91">
        <f>IF(R83="-","-",VLOOKUP($E83,CTPit!$E$10:$AW$75,BJ$9,FALSE)-R83)</f>
        <v>-1</v>
      </c>
      <c r="BK83" s="91">
        <f>IF(S83="-","-",VLOOKUP($E83,CTPit!$E$10:$AW$75,BK$9,FALSE)-S83)</f>
        <v>0</v>
      </c>
      <c r="BL83" s="91">
        <f>IF(T83="-","-",VLOOKUP($E83,CTPit!$E$10:$AW$75,BL$9,FALSE)-T83)</f>
        <v>0</v>
      </c>
      <c r="BM83" s="91">
        <f>IF(U83="-","-",VLOOKUP($E83,CTPit!$E$10:$AW$75,BM$9,FALSE)-U83)</f>
        <v>0</v>
      </c>
      <c r="BN83" s="91">
        <f>IF(V83="-","-",VLOOKUP($E83,CTPit!$E$10:$AW$75,BN$9,FALSE)-V83)</f>
        <v>0</v>
      </c>
      <c r="BO83" s="91" t="str">
        <f>IF(W83="-","-",VLOOKUP($E83,CTPit!$E$10:$AW$75,BO$9,FALSE)-W83)</f>
        <v>-</v>
      </c>
      <c r="BP83" s="91" t="str">
        <f>IF(X83="-","-",VLOOKUP($E83,CTPit!$E$10:$AW$75,BP$9,FALSE)-X83)</f>
        <v>-</v>
      </c>
      <c r="BQ83" s="91" t="str">
        <f>IF(Y83="-","-",VLOOKUP($E83,CTPit!$E$10:$AW$75,BQ$9,FALSE)-Y83)</f>
        <v>-</v>
      </c>
      <c r="BR83" s="91" t="str">
        <f>IF(Z83="-","-",VLOOKUP($E83,CTPit!$E$10:$AW$75,BR$9,FALSE)-Z83)</f>
        <v>-</v>
      </c>
      <c r="BS83" s="91">
        <f>IF(AA83="-","-",VLOOKUP($E83,CTPit!$E$10:$AW$75,BS$9,FALSE)-AA83)</f>
        <v>0</v>
      </c>
      <c r="BT83" s="91">
        <f>IF(AB83="-","-",VLOOKUP($E83,CTPit!$E$10:$AW$75,BT$9,FALSE)-AB83)</f>
        <v>-1</v>
      </c>
      <c r="BU83" s="91" t="str">
        <f>IF(AC83="-","-",VLOOKUP($E83,CTPit!$E$10:$AW$75,BU$9,FALSE)-AC83)</f>
        <v>-</v>
      </c>
      <c r="BV83" s="91" t="str">
        <f>IF(AD83="-","-",VLOOKUP($E83,CTPit!$E$10:$AW$75,BV$9,FALSE)-AD83)</f>
        <v>-</v>
      </c>
      <c r="BW83" s="91" t="str">
        <f>IF(AE83="-","-",VLOOKUP($E83,CTPit!$E$10:$AW$75,BW$9,FALSE)-AE83)</f>
        <v>-</v>
      </c>
      <c r="BX83" s="91" t="str">
        <f>IF(AF83="-","-",VLOOKUP($E83,CTPit!$E$10:$AW$75,BX$9,FALSE)-AF83)</f>
        <v>-</v>
      </c>
      <c r="BY83" s="91" t="str">
        <f>IF(AG83="-","-",VLOOKUP($E83,CTPit!$E$10:$AW$75,BY$9,FALSE)-AG83)</f>
        <v>-</v>
      </c>
      <c r="BZ83" s="91" t="str">
        <f>IF(AH83="-","-",VLOOKUP($E83,CTPit!$E$10:$AW$75,BZ$9,FALSE)-AH83)</f>
        <v>-</v>
      </c>
      <c r="CA83" s="91" t="str">
        <f>IF(AI83="-","-",VLOOKUP($E83,CTPit!$E$10:$AW$75,CA$9,FALSE)-AI83)</f>
        <v>-</v>
      </c>
      <c r="CB83" s="91" t="str">
        <f>IF(AJ83="-","-",VLOOKUP($E83,CTPit!$E$10:$AW$75,CB$9,FALSE)-AJ83)</f>
        <v>-</v>
      </c>
      <c r="CC83" s="91" t="str">
        <f>IF(AK83="-","-",VLOOKUP($E83,CTPit!$E$10:$AW$75,CC$9,FALSE)-AK83)</f>
        <v>-</v>
      </c>
      <c r="CD83" s="91" t="str">
        <f>IF(AL83="-","-",VLOOKUP($E83,CTPit!$E$10:$AW$75,CD$9,FALSE)-AL83)</f>
        <v>-</v>
      </c>
      <c r="CE83" s="91" t="str">
        <f>IF(AM83="-","-",VLOOKUP($E83,CTPit!$E$10:$AW$75,CE$9,FALSE)-AM83)</f>
        <v>-</v>
      </c>
      <c r="CF83" s="91" t="str">
        <f>IF(AN83="-","-",VLOOKUP($E83,CTPit!$E$10:$AW$75,CF$9,FALSE)-AN83)</f>
        <v>-</v>
      </c>
      <c r="CG83" s="91" t="str">
        <f>IF(AO83="-","-",VLOOKUP($E83,CTPit!$E$10:$AW$75,CG$9,FALSE)-AO83)</f>
        <v>-</v>
      </c>
      <c r="CH83" s="91" t="str">
        <f>IF(AP83="-","-",VLOOKUP($E83,CTPit!$E$10:$AW$75,CH$9,FALSE)-AP83)</f>
        <v>-</v>
      </c>
      <c r="CI83" s="91" t="str">
        <f>IF(AQ83="-","-",VLOOKUP($E83,CTPit!$E$10:$AW$75,CI$9,FALSE)-AQ83)</f>
        <v>-</v>
      </c>
      <c r="CJ83" s="91" t="str">
        <f>IF(AR83="-","-",VLOOKUP($E83,CTPit!$E$10:$AW$75,CJ$9,FALSE)-AR83)</f>
        <v>-</v>
      </c>
      <c r="CK83">
        <f t="shared" si="37"/>
        <v>-2</v>
      </c>
    </row>
    <row r="84" spans="3:89">
      <c r="C84" t="str">
        <f t="shared" si="27"/>
        <v>K</v>
      </c>
      <c r="D84" t="s">
        <v>110</v>
      </c>
      <c r="E84" t="s">
        <v>433</v>
      </c>
      <c r="F84" t="s">
        <v>25</v>
      </c>
      <c r="G84" t="s">
        <v>212</v>
      </c>
      <c r="H84" s="281">
        <v>23</v>
      </c>
      <c r="I84" t="s">
        <v>106</v>
      </c>
      <c r="J84" t="s">
        <v>106</v>
      </c>
      <c r="K84" t="s">
        <v>42</v>
      </c>
      <c r="L84" s="281" t="s">
        <v>42</v>
      </c>
      <c r="M84" t="s">
        <v>231</v>
      </c>
      <c r="N84" t="s">
        <v>230</v>
      </c>
      <c r="O84" s="281">
        <v>9</v>
      </c>
      <c r="P84">
        <v>6</v>
      </c>
      <c r="Q84">
        <v>3</v>
      </c>
      <c r="R84" s="281">
        <v>9</v>
      </c>
      <c r="S84">
        <v>6</v>
      </c>
      <c r="T84">
        <v>3</v>
      </c>
      <c r="U84">
        <v>8</v>
      </c>
      <c r="V84">
        <v>9</v>
      </c>
      <c r="W84">
        <v>4</v>
      </c>
      <c r="X84">
        <v>5</v>
      </c>
      <c r="Y84" t="s">
        <v>41</v>
      </c>
      <c r="Z84" t="s">
        <v>41</v>
      </c>
      <c r="AA84">
        <v>7</v>
      </c>
      <c r="AB84">
        <v>7</v>
      </c>
      <c r="AC84" t="s">
        <v>41</v>
      </c>
      <c r="AD84" t="s">
        <v>41</v>
      </c>
      <c r="AE84" t="s">
        <v>41</v>
      </c>
      <c r="AF84" t="s">
        <v>41</v>
      </c>
      <c r="AG84" t="s">
        <v>41</v>
      </c>
      <c r="AH84" t="s">
        <v>41</v>
      </c>
      <c r="AI84" t="s">
        <v>41</v>
      </c>
      <c r="AJ84" t="s">
        <v>41</v>
      </c>
      <c r="AK84" t="s">
        <v>41</v>
      </c>
      <c r="AL84" t="s">
        <v>41</v>
      </c>
      <c r="AM84" t="s">
        <v>41</v>
      </c>
      <c r="AN84" t="s">
        <v>41</v>
      </c>
      <c r="AO84" t="s">
        <v>41</v>
      </c>
      <c r="AP84" s="281" t="s">
        <v>41</v>
      </c>
      <c r="AQ84" t="s">
        <v>41</v>
      </c>
      <c r="AR84" t="s">
        <v>41</v>
      </c>
      <c r="AS84" s="281" t="s">
        <v>419</v>
      </c>
      <c r="AT84">
        <v>10</v>
      </c>
      <c r="AU84" s="11">
        <v>0.61</v>
      </c>
      <c r="AV84" s="85">
        <v>828000</v>
      </c>
      <c r="AW84" s="280" t="s">
        <v>45</v>
      </c>
      <c r="AX84" s="6">
        <f t="shared" si="28"/>
        <v>6.5</v>
      </c>
      <c r="AY84" s="9" t="str">
        <f t="shared" si="29"/>
        <v>Reg</v>
      </c>
      <c r="AZ84" s="9">
        <f t="shared" si="30"/>
        <v>6.5</v>
      </c>
      <c r="BA84" s="9" t="str">
        <f t="shared" si="31"/>
        <v>Reg</v>
      </c>
      <c r="BB84" s="9">
        <f t="shared" si="32"/>
        <v>6.5</v>
      </c>
      <c r="BC84" s="9" t="str">
        <f t="shared" si="33"/>
        <v>Reg</v>
      </c>
      <c r="BD84" s="84">
        <f t="shared" si="34"/>
        <v>3</v>
      </c>
      <c r="BE84" s="83">
        <f t="shared" si="35"/>
        <v>2</v>
      </c>
      <c r="BF84" t="str">
        <f t="shared" si="36"/>
        <v/>
      </c>
      <c r="BG84" s="91">
        <f>IF(O84="-","-",VLOOKUP($E84,CTPit!$E$10:$AW$75,BG$9,FALSE)-O84)</f>
        <v>-1</v>
      </c>
      <c r="BH84" s="91">
        <f>IF(P84="-","-",VLOOKUP($E84,CTPit!$E$10:$AW$75,BH$9,FALSE)-P84)</f>
        <v>0</v>
      </c>
      <c r="BI84" s="91">
        <f>IF(Q84="-","-",VLOOKUP($E84,CTPit!$E$10:$AW$75,BI$9,FALSE)-Q84)</f>
        <v>0</v>
      </c>
      <c r="BJ84" s="91">
        <f>IF(R84="-","-",VLOOKUP($E84,CTPit!$E$10:$AW$75,BJ$9,FALSE)-R84)</f>
        <v>0</v>
      </c>
      <c r="BK84" s="91">
        <f>IF(S84="-","-",VLOOKUP($E84,CTPit!$E$10:$AW$75,BK$9,FALSE)-S84)</f>
        <v>0</v>
      </c>
      <c r="BL84" s="91">
        <f>IF(T84="-","-",VLOOKUP($E84,CTPit!$E$10:$AW$75,BL$9,FALSE)-T84)</f>
        <v>0</v>
      </c>
      <c r="BM84" s="91">
        <f>IF(U84="-","-",VLOOKUP($E84,CTPit!$E$10:$AW$75,BM$9,FALSE)-U84)</f>
        <v>0</v>
      </c>
      <c r="BN84" s="91">
        <f>IF(V84="-","-",VLOOKUP($E84,CTPit!$E$10:$AW$75,BN$9,FALSE)-V84)</f>
        <v>0</v>
      </c>
      <c r="BO84" s="91">
        <f>IF(W84="-","-",VLOOKUP($E84,CTPit!$E$10:$AW$75,BO$9,FALSE)-W84)</f>
        <v>0</v>
      </c>
      <c r="BP84" s="91">
        <f>IF(X84="-","-",VLOOKUP($E84,CTPit!$E$10:$AW$75,BP$9,FALSE)-X84)</f>
        <v>0</v>
      </c>
      <c r="BQ84" s="91" t="str">
        <f>IF(Y84="-","-",VLOOKUP($E84,CTPit!$E$10:$AW$75,BQ$9,FALSE)-Y84)</f>
        <v>-</v>
      </c>
      <c r="BR84" s="91" t="str">
        <f>IF(Z84="-","-",VLOOKUP($E84,CTPit!$E$10:$AW$75,BR$9,FALSE)-Z84)</f>
        <v>-</v>
      </c>
      <c r="BS84" s="91">
        <f>IF(AA84="-","-",VLOOKUP($E84,CTPit!$E$10:$AW$75,BS$9,FALSE)-AA84)</f>
        <v>-1</v>
      </c>
      <c r="BT84" s="91">
        <f>IF(AB84="-","-",VLOOKUP($E84,CTPit!$E$10:$AW$75,BT$9,FALSE)-AB84)</f>
        <v>-1</v>
      </c>
      <c r="BU84" s="91" t="str">
        <f>IF(AC84="-","-",VLOOKUP($E84,CTPit!$E$10:$AW$75,BU$9,FALSE)-AC84)</f>
        <v>-</v>
      </c>
      <c r="BV84" s="91" t="str">
        <f>IF(AD84="-","-",VLOOKUP($E84,CTPit!$E$10:$AW$75,BV$9,FALSE)-AD84)</f>
        <v>-</v>
      </c>
      <c r="BW84" s="91" t="str">
        <f>IF(AE84="-","-",VLOOKUP($E84,CTPit!$E$10:$AW$75,BW$9,FALSE)-AE84)</f>
        <v>-</v>
      </c>
      <c r="BX84" s="91" t="str">
        <f>IF(AF84="-","-",VLOOKUP($E84,CTPit!$E$10:$AW$75,BX$9,FALSE)-AF84)</f>
        <v>-</v>
      </c>
      <c r="BY84" s="91" t="str">
        <f>IF(AG84="-","-",VLOOKUP($E84,CTPit!$E$10:$AW$75,BY$9,FALSE)-AG84)</f>
        <v>-</v>
      </c>
      <c r="BZ84" s="91" t="str">
        <f>IF(AH84="-","-",VLOOKUP($E84,CTPit!$E$10:$AW$75,BZ$9,FALSE)-AH84)</f>
        <v>-</v>
      </c>
      <c r="CA84" s="91" t="str">
        <f>IF(AI84="-","-",VLOOKUP($E84,CTPit!$E$10:$AW$75,CA$9,FALSE)-AI84)</f>
        <v>-</v>
      </c>
      <c r="CB84" s="91" t="str">
        <f>IF(AJ84="-","-",VLOOKUP($E84,CTPit!$E$10:$AW$75,CB$9,FALSE)-AJ84)</f>
        <v>-</v>
      </c>
      <c r="CC84" s="91" t="str">
        <f>IF(AK84="-","-",VLOOKUP($E84,CTPit!$E$10:$AW$75,CC$9,FALSE)-AK84)</f>
        <v>-</v>
      </c>
      <c r="CD84" s="91" t="str">
        <f>IF(AL84="-","-",VLOOKUP($E84,CTPit!$E$10:$AW$75,CD$9,FALSE)-AL84)</f>
        <v>-</v>
      </c>
      <c r="CE84" s="91" t="str">
        <f>IF(AM84="-","-",VLOOKUP($E84,CTPit!$E$10:$AW$75,CE$9,FALSE)-AM84)</f>
        <v>-</v>
      </c>
      <c r="CF84" s="91" t="str">
        <f>IF(AN84="-","-",VLOOKUP($E84,CTPit!$E$10:$AW$75,CF$9,FALSE)-AN84)</f>
        <v>-</v>
      </c>
      <c r="CG84" s="91" t="str">
        <f>IF(AO84="-","-",VLOOKUP($E84,CTPit!$E$10:$AW$75,CG$9,FALSE)-AO84)</f>
        <v>-</v>
      </c>
      <c r="CH84" s="91" t="str">
        <f>IF(AP84="-","-",VLOOKUP($E84,CTPit!$E$10:$AW$75,CH$9,FALSE)-AP84)</f>
        <v>-</v>
      </c>
      <c r="CI84" s="91" t="str">
        <f>IF(AQ84="-","-",VLOOKUP($E84,CTPit!$E$10:$AW$75,CI$9,FALSE)-AQ84)</f>
        <v>-</v>
      </c>
      <c r="CJ84" s="91" t="str">
        <f>IF(AR84="-","-",VLOOKUP($E84,CTPit!$E$10:$AW$75,CJ$9,FALSE)-AR84)</f>
        <v>-</v>
      </c>
      <c r="CK84">
        <f t="shared" si="37"/>
        <v>-3</v>
      </c>
    </row>
  </sheetData>
  <sortState ref="A11:CK84">
    <sortCondition descending="1" ref="CK11:CK84"/>
    <sortCondition descending="1" ref="AX11:AX84"/>
  </sortState>
  <conditionalFormatting sqref="I66:J67 J66:K66 K11:L76">
    <cfRule type="expression" dxfId="118" priority="1">
      <formula>IF(I11&lt;&gt;"1 star",1,0)</formula>
    </cfRule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</vt:lpstr>
      <vt:lpstr>CON-future</vt:lpstr>
      <vt:lpstr>Payroll</vt:lpstr>
      <vt:lpstr>Fin Proj</vt:lpstr>
      <vt:lpstr>Pos Depth</vt:lpstr>
      <vt:lpstr>Depth</vt:lpstr>
      <vt:lpstr>CTBat</vt:lpstr>
      <vt:lpstr>CTPit</vt:lpstr>
      <vt:lpstr>PSP-AAA</vt:lpstr>
      <vt:lpstr>NH-A</vt:lpstr>
      <vt:lpstr>CRG-A</vt:lpstr>
      <vt:lpstr>PC-S A</vt:lpstr>
      <vt:lpstr>CTBOld</vt:lpstr>
      <vt:lpstr>CTPOld</vt:lpstr>
    </vt:vector>
  </TitlesOfParts>
  <Company>Providence Health &amp;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Esselink</dc:creator>
  <cp:lastModifiedBy>Frank Esselink</cp:lastModifiedBy>
  <dcterms:created xsi:type="dcterms:W3CDTF">2010-08-30T18:35:13Z</dcterms:created>
  <dcterms:modified xsi:type="dcterms:W3CDTF">2013-04-16T23:35:39Z</dcterms:modified>
</cp:coreProperties>
</file>